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940" windowHeight="4485" tabRatio="811" activeTab="0"/>
  </bookViews>
  <sheets>
    <sheet name="Irrigation Calcs" sheetId="1" r:id="rId1"/>
  </sheets>
  <definedNames>
    <definedName name="_xlnm.Print_Area" localSheetId="0">'Irrigation Calcs'!$A$72:$Q$103</definedName>
  </definedNames>
  <calcPr fullCalcOnLoad="1"/>
</workbook>
</file>

<file path=xl/sharedStrings.xml><?xml version="1.0" encoding="utf-8"?>
<sst xmlns="http://schemas.openxmlformats.org/spreadsheetml/2006/main" count="185" uniqueCount="137">
  <si>
    <t>PRESSURE LOSS FOR PVC FLOW SENSORS</t>
  </si>
  <si>
    <t>PRESSURE LOSS FOR IRRIGATION PIPE</t>
  </si>
  <si>
    <t>IRRIGATION PRECIPITATION RATES</t>
  </si>
  <si>
    <t>PEAK IRRIGATION BASE SCHEDULE</t>
  </si>
  <si>
    <t>WATER VOLUME REQUIREMENT</t>
  </si>
  <si>
    <t>FLOW CAPACITY REQUIREMENT</t>
  </si>
  <si>
    <t>PUMP HORSEPOWER REQUIREMENT</t>
  </si>
  <si>
    <t>CONVERSIONS</t>
  </si>
  <si>
    <r>
      <t xml:space="preserve">Entry data requirements are in </t>
    </r>
    <r>
      <rPr>
        <b/>
        <sz val="10"/>
        <color indexed="10"/>
        <rFont val="Tahoma"/>
        <family val="2"/>
      </rPr>
      <t>RED</t>
    </r>
  </si>
  <si>
    <t>1.</t>
  </si>
  <si>
    <r>
      <t>PRESSURE LOSS FOR PVC FLOW SENSORS</t>
    </r>
    <r>
      <rPr>
        <sz val="11"/>
        <color indexed="18"/>
        <rFont val="Tahoma"/>
        <family val="2"/>
      </rPr>
      <t>*</t>
    </r>
  </si>
  <si>
    <r>
      <t xml:space="preserve">RAW DATA </t>
    </r>
    <r>
      <rPr>
        <sz val="9"/>
        <color indexed="18"/>
        <rFont val="Tahoma"/>
        <family val="2"/>
      </rPr>
      <t>(enter)</t>
    </r>
  </si>
  <si>
    <t>SIZE</t>
  </si>
  <si>
    <t>FLOW RANGE</t>
  </si>
  <si>
    <t>▪ Flow Rate (GPM)</t>
  </si>
  <si>
    <t>1.5</t>
  </si>
  <si>
    <t>5 - 100 GPM</t>
  </si>
  <si>
    <t>▪ Flow Sensor Size</t>
  </si>
  <si>
    <t>2.0</t>
  </si>
  <si>
    <t>10 - 200 GPM</t>
  </si>
  <si>
    <t>3.0</t>
  </si>
  <si>
    <t>20 - 300 GPM</t>
  </si>
  <si>
    <t>CALCULATED DATA</t>
  </si>
  <si>
    <t>4.0</t>
  </si>
  <si>
    <t>40 - 500 GPM</t>
  </si>
  <si>
    <t>▪ Total Pressure Loss (PSI)</t>
  </si>
  <si>
    <t>▪ Water Velocity (Ft/Sec)</t>
  </si>
  <si>
    <t>*Rain Master flow sensor and Sch. 40 pipe (15 diameters in length)</t>
  </si>
  <si>
    <t>2.</t>
  </si>
  <si>
    <t>PRESSURE LOSS AND VELOCITY FOR IRRIGATION PIPE</t>
  </si>
  <si>
    <t>CL200</t>
  </si>
  <si>
    <t>CL 315</t>
  </si>
  <si>
    <t>SCH 40</t>
  </si>
  <si>
    <t>1.0</t>
  </si>
  <si>
    <t>▪ Friction Coefficient (150 for PVC)</t>
  </si>
  <si>
    <t>1.25</t>
  </si>
  <si>
    <t>▪ Pipe Length (Ft)</t>
  </si>
  <si>
    <t>▪ Pipe Inside Diameter (In)</t>
  </si>
  <si>
    <t>2.5</t>
  </si>
  <si>
    <t>▪ Pressure Loss</t>
  </si>
  <si>
    <t>▪ Velocity</t>
  </si>
  <si>
    <t>6.0</t>
  </si>
  <si>
    <t>3.</t>
  </si>
  <si>
    <t>▪ Irrigation Target Area (Sq. Ft.)</t>
  </si>
  <si>
    <t>▪ Effective Precipitation Rate (In./Hr.)</t>
  </si>
  <si>
    <t>▪ Irrigation Station Efficiency</t>
  </si>
  <si>
    <t>4.</t>
  </si>
  <si>
    <t>PEAK IRRIGATION SCHEDULE (Water Budget Method)</t>
  </si>
  <si>
    <t>▪ Irrigation Station Number (optional)</t>
  </si>
  <si>
    <r>
      <t>▪ Peak Daily Reference ET (ET</t>
    </r>
    <r>
      <rPr>
        <vertAlign val="subscript"/>
        <sz val="10"/>
        <color indexed="10"/>
        <rFont val="Tahoma"/>
        <family val="2"/>
      </rPr>
      <t>o</t>
    </r>
    <r>
      <rPr>
        <sz val="10"/>
        <color indexed="10"/>
        <rFont val="Tahoma"/>
        <family val="2"/>
      </rPr>
      <t>)</t>
    </r>
  </si>
  <si>
    <t>▪ Landscape Coefficient (Kl)</t>
  </si>
  <si>
    <t>▪ Gross Preciptation Rate (In/Hr)</t>
  </si>
  <si>
    <t>▪ Irrigation Station Efficiency (%)</t>
  </si>
  <si>
    <t>SOIL</t>
  </si>
  <si>
    <t xml:space="preserve">  Inches of water per</t>
  </si>
  <si>
    <t>▪ Effective Root Zone Depth (Inches)</t>
  </si>
  <si>
    <t>TYPE</t>
  </si>
  <si>
    <t>Inch of soil depth</t>
  </si>
  <si>
    <t>▪ Soil Moisture Holding Capacity (In/In)</t>
  </si>
  <si>
    <t>Clay</t>
  </si>
  <si>
    <t>0.14 - 0.18</t>
  </si>
  <si>
    <t>▪ Management Allowed Depletion (%)</t>
  </si>
  <si>
    <t>Loam</t>
  </si>
  <si>
    <t>0.10 - 0.13</t>
  </si>
  <si>
    <t>Sand</t>
  </si>
  <si>
    <t>0.05 - 0.09</t>
  </si>
  <si>
    <t>▪ Monthly Plant Water Requirement (In)</t>
  </si>
  <si>
    <t>▪ Monthly Irrigation Water Requiremnt (In)</t>
  </si>
  <si>
    <t>▪ Effective Preciptation Rate (In/Hr)</t>
  </si>
  <si>
    <t>▪ Skip Days (Days Between Irrigations)</t>
  </si>
  <si>
    <t>▪ Total Minutes Per Irrigation Day</t>
  </si>
  <si>
    <t>CONVERSION TO A WEEKLY SCHEDULE</t>
  </si>
  <si>
    <t>▪ Total Irrigation Days Per Week (enter)</t>
  </si>
  <si>
    <t>NOTE: Irrigation Days and Minutes are rounded to integers.</t>
  </si>
  <si>
    <t>5.</t>
  </si>
  <si>
    <t>6.</t>
  </si>
  <si>
    <t>WATER VOLUME REQUIREMENTS</t>
  </si>
  <si>
    <t>▪ Landscape Area in Acres</t>
  </si>
  <si>
    <t xml:space="preserve">▪ Inches of Irrigation Water </t>
  </si>
  <si>
    <t>▪ Total Gallons</t>
  </si>
  <si>
    <t>▪ 1000 Gallon Units (MG)</t>
  </si>
  <si>
    <t>▪ Hundred Cubic Feet (CCF)</t>
  </si>
  <si>
    <t>▪ Acre Feet</t>
  </si>
  <si>
    <t>7.</t>
  </si>
  <si>
    <t>▪ Peak Daily Evapotranspiration</t>
  </si>
  <si>
    <t>▪ Landscape Coefficient</t>
  </si>
  <si>
    <t>▪ Irrigation System Efficiency</t>
  </si>
  <si>
    <t>▪ Allowable Irrigation Hours/Day</t>
  </si>
  <si>
    <t>▪ Allowable Irrigation Days/Week</t>
  </si>
  <si>
    <t>▪ Irrigated Plant Area in Acres</t>
  </si>
  <si>
    <t>▪ Additional Flow Allowance (%)</t>
  </si>
  <si>
    <t>▪ Plant Water Requirement (In/Week)</t>
  </si>
  <si>
    <t>▪ Irrigation Water Requiremnt (In/Week)</t>
  </si>
  <si>
    <t>▪ Total Water Required (MG/Day)</t>
  </si>
  <si>
    <t>▪ Average Flow Rate Required (GPM)</t>
  </si>
  <si>
    <t>▪ Design Flow Rate (GPM)</t>
  </si>
  <si>
    <t>8.</t>
  </si>
  <si>
    <t>PUMP HP REQUIREMENT</t>
  </si>
  <si>
    <t>▪ Flow Rate Required (GPM)</t>
  </si>
  <si>
    <t>▪ Pressure Required (PSI)</t>
  </si>
  <si>
    <t>▪ Pump Efficiency</t>
  </si>
  <si>
    <t>▪ Horse Power</t>
  </si>
  <si>
    <t>▪ Feet of Head</t>
  </si>
  <si>
    <t>Enter</t>
  </si>
  <si>
    <t>Calculated</t>
  </si>
  <si>
    <t>▪  Square Feet</t>
  </si>
  <si>
    <t>=</t>
  </si>
  <si>
    <t>Acres</t>
  </si>
  <si>
    <t>▪  Acres</t>
  </si>
  <si>
    <t>Square Feet</t>
  </si>
  <si>
    <t>▪  G - Gallons</t>
  </si>
  <si>
    <t>CF - Cubic Feet</t>
  </si>
  <si>
    <t>CCF - 100 Cubic Ft.</t>
  </si>
  <si>
    <t>MG - 1000 Gallons</t>
  </si>
  <si>
    <t>AF - Acre Feet</t>
  </si>
  <si>
    <t>▪  MG - 1000 Gallons</t>
  </si>
  <si>
    <t>G - Gallons</t>
  </si>
  <si>
    <t>▪  CF - Cubic Feet</t>
  </si>
  <si>
    <t>▪  CCF - 100 Cubic Ft.</t>
  </si>
  <si>
    <t>▪  AF - Acre Feet</t>
  </si>
  <si>
    <t>IRRIGATION CALCULATIONS</t>
  </si>
  <si>
    <t>IRRIGATION STATION PERFORMANCE</t>
  </si>
  <si>
    <t>▪ Station Flow Rate (GPM)</t>
  </si>
  <si>
    <t xml:space="preserve">▪ LQ Distribution Uniformity (Percent)          </t>
  </si>
  <si>
    <t>▪ Miscellaneous Water Losses (Percent)</t>
  </si>
  <si>
    <t>▪ Average Precipitation Rate (In./Hr.)</t>
  </si>
  <si>
    <t>▪ Root Zone Working Storage (Inches)</t>
  </si>
  <si>
    <t>▪ Irrigation Event Frequency (Days)</t>
  </si>
  <si>
    <t>▪ Net Irrigation Applied (Inches)</t>
  </si>
  <si>
    <t>INCHES OF WATER APPLIED</t>
  </si>
  <si>
    <t>9.</t>
  </si>
  <si>
    <t>INCHES OF WATER APPLIED and PERCENTAGE OF ETo</t>
  </si>
  <si>
    <t>▪ Reference Evapotranspiration (ETo)</t>
  </si>
  <si>
    <t>▪ Inches of Irrigation Water Applied</t>
  </si>
  <si>
    <t>▪ Percentage of ETo Applied</t>
  </si>
  <si>
    <t>Rev. 04.03.06</t>
  </si>
  <si>
    <t xml:space="preserve">  1000 Gallon Units (MG)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</si>
</sst>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  <numFmt numFmtId="166" formatCode="mmmm\ d\,\ yyyy"/>
    <numFmt numFmtId="167" formatCode="0.00_);\(0.00\)"/>
    <numFmt numFmtId="168" formatCode="0.000_)"/>
    <numFmt numFmtId="169" formatCode="0_)"/>
    <numFmt numFmtId="170" formatCode="0.00_)"/>
    <numFmt numFmtId="171" formatCode="0.000"/>
    <numFmt numFmtId="172" formatCode="0.00000"/>
    <numFmt numFmtId="173" formatCode="0.0_)"/>
    <numFmt numFmtId="174" formatCode="0.0"/>
    <numFmt numFmtId="175" formatCode="0.00000000"/>
    <numFmt numFmtId="176" formatCode="0.0000000"/>
    <numFmt numFmtId="177" formatCode="&quot;$&quot;#,##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"/>
  </numFmts>
  <fonts count="37">
    <font>
      <sz val="10"/>
      <name val="Arial"/>
      <family val="0"/>
    </font>
    <font>
      <sz val="8"/>
      <name val="Arial"/>
      <family val="2"/>
    </font>
    <font>
      <sz val="9"/>
      <name val="Tahoma"/>
      <family val="2"/>
    </font>
    <font>
      <sz val="8"/>
      <color indexed="12"/>
      <name val="Tahoma"/>
      <family val="2"/>
    </font>
    <font>
      <b/>
      <sz val="18"/>
      <color indexed="18"/>
      <name val="Tahoma"/>
      <family val="2"/>
    </font>
    <font>
      <sz val="12"/>
      <color indexed="18"/>
      <name val="Tahoma"/>
      <family val="2"/>
    </font>
    <font>
      <b/>
      <sz val="10"/>
      <color indexed="18"/>
      <name val="Tahoma"/>
      <family val="2"/>
    </font>
    <font>
      <b/>
      <sz val="10"/>
      <color indexed="18"/>
      <name val="Courier"/>
      <family val="0"/>
    </font>
    <font>
      <sz val="10"/>
      <color indexed="8"/>
      <name val="Tahoma"/>
      <family val="2"/>
    </font>
    <font>
      <sz val="10"/>
      <color indexed="8"/>
      <name val="Courier"/>
      <family val="0"/>
    </font>
    <font>
      <sz val="10"/>
      <color indexed="18"/>
      <name val="Tahoma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b/>
      <sz val="14"/>
      <color indexed="18"/>
      <name val="Tahoma"/>
      <family val="2"/>
    </font>
    <font>
      <b/>
      <sz val="11"/>
      <color indexed="18"/>
      <name val="Tahoma"/>
      <family val="2"/>
    </font>
    <font>
      <sz val="11"/>
      <color indexed="18"/>
      <name val="Tahoma"/>
      <family val="2"/>
    </font>
    <font>
      <sz val="10"/>
      <color indexed="12"/>
      <name val="Tahoma"/>
      <family val="2"/>
    </font>
    <font>
      <b/>
      <sz val="9"/>
      <color indexed="18"/>
      <name val="Tahoma"/>
      <family val="2"/>
    </font>
    <font>
      <sz val="9"/>
      <color indexed="18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9"/>
      <color indexed="8"/>
      <name val="Tahoma"/>
      <family val="2"/>
    </font>
    <font>
      <sz val="10"/>
      <color indexed="10"/>
      <name val="Tahoma"/>
      <family val="2"/>
    </font>
    <font>
      <sz val="9"/>
      <color indexed="10"/>
      <name val="Tahoma"/>
      <family val="2"/>
    </font>
    <font>
      <b/>
      <sz val="10"/>
      <color indexed="8"/>
      <name val="Tahoma"/>
      <family val="0"/>
    </font>
    <font>
      <b/>
      <sz val="10"/>
      <color indexed="8"/>
      <name val="Courier"/>
      <family val="0"/>
    </font>
    <font>
      <sz val="10"/>
      <color indexed="12"/>
      <name val="Courier"/>
      <family val="0"/>
    </font>
    <font>
      <sz val="9"/>
      <color indexed="12"/>
      <name val="Tahoma"/>
      <family val="2"/>
    </font>
    <font>
      <vertAlign val="subscript"/>
      <sz val="10"/>
      <color indexed="10"/>
      <name val="Tahoma"/>
      <family val="2"/>
    </font>
    <font>
      <vertAlign val="superscript"/>
      <sz val="8"/>
      <name val="Tahoma"/>
      <family val="2"/>
    </font>
    <font>
      <sz val="8"/>
      <color indexed="10"/>
      <name val="Tahoma"/>
      <family val="2"/>
    </font>
    <font>
      <sz val="10"/>
      <color indexed="16"/>
      <name val="Tahoma"/>
      <family val="2"/>
    </font>
    <font>
      <sz val="10"/>
      <color indexed="12"/>
      <name val="Arial"/>
      <family val="2"/>
    </font>
    <font>
      <b/>
      <sz val="12"/>
      <color indexed="18"/>
      <name val="Tahoma"/>
      <family val="2"/>
    </font>
    <font>
      <sz val="10"/>
      <color indexed="9"/>
      <name val="Tahoma"/>
      <family val="2"/>
    </font>
    <font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 applyProtection="1">
      <alignment horizontal="right" vertical="center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168" fontId="16" fillId="0" borderId="1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/>
    </xf>
    <xf numFmtId="0" fontId="2" fillId="0" borderId="2" xfId="0" applyFont="1" applyBorder="1" applyAlignment="1">
      <alignment/>
    </xf>
    <xf numFmtId="169" fontId="19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70" fontId="9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/>
    </xf>
    <xf numFmtId="0" fontId="25" fillId="0" borderId="2" xfId="0" applyFont="1" applyBorder="1" applyAlignment="1">
      <alignment/>
    </xf>
    <xf numFmtId="170" fontId="26" fillId="0" borderId="2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170" fontId="26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171" fontId="12" fillId="0" borderId="0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170" fontId="9" fillId="0" borderId="0" xfId="0" applyNumberFormat="1" applyFont="1" applyAlignment="1">
      <alignment/>
    </xf>
    <xf numFmtId="170" fontId="16" fillId="0" borderId="0" xfId="0" applyNumberFormat="1" applyFont="1" applyAlignment="1">
      <alignment horizontal="center" vertical="center"/>
    </xf>
    <xf numFmtId="173" fontId="16" fillId="0" borderId="4" xfId="0" applyNumberFormat="1" applyFont="1" applyBorder="1" applyAlignment="1">
      <alignment horizontal="center" vertical="center"/>
    </xf>
    <xf numFmtId="173" fontId="16" fillId="0" borderId="0" xfId="0" applyNumberFormat="1" applyFont="1" applyAlignment="1">
      <alignment horizontal="left" vertical="center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170" fontId="25" fillId="0" borderId="3" xfId="0" applyNumberFormat="1" applyFont="1" applyBorder="1" applyAlignment="1">
      <alignment horizontal="center" vertical="center"/>
    </xf>
    <xf numFmtId="169" fontId="25" fillId="0" borderId="3" xfId="0" applyNumberFormat="1" applyFont="1" applyBorder="1" applyAlignment="1">
      <alignment horizontal="center" vertical="center"/>
    </xf>
    <xf numFmtId="169" fontId="25" fillId="0" borderId="3" xfId="0" applyNumberFormat="1" applyFont="1" applyBorder="1" applyAlignment="1">
      <alignment horizontal="left" vertical="center"/>
    </xf>
    <xf numFmtId="169" fontId="25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170" fontId="24" fillId="0" borderId="5" xfId="0" applyNumberFormat="1" applyFont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19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3" fontId="16" fillId="0" borderId="4" xfId="0" applyNumberFormat="1" applyFont="1" applyFill="1" applyBorder="1" applyAlignment="1">
      <alignment horizontal="center" vertical="center"/>
    </xf>
    <xf numFmtId="173" fontId="27" fillId="0" borderId="0" xfId="0" applyNumberFormat="1" applyFont="1" applyAlignment="1">
      <alignment horizontal="left" vertical="center"/>
    </xf>
    <xf numFmtId="170" fontId="2" fillId="0" borderId="0" xfId="0" applyNumberFormat="1" applyFont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170" fontId="24" fillId="0" borderId="2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vertical="center"/>
    </xf>
    <xf numFmtId="173" fontId="16" fillId="0" borderId="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/>
    </xf>
    <xf numFmtId="0" fontId="0" fillId="0" borderId="0" xfId="0" applyBorder="1" applyAlignment="1">
      <alignment horizontal="center" vertical="center"/>
    </xf>
    <xf numFmtId="170" fontId="19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19" fillId="0" borderId="0" xfId="0" applyFont="1" applyAlignment="1">
      <alignment horizontal="left"/>
    </xf>
    <xf numFmtId="170" fontId="19" fillId="0" borderId="0" xfId="0" applyNumberFormat="1" applyFont="1" applyAlignment="1">
      <alignment/>
    </xf>
    <xf numFmtId="0" fontId="2" fillId="0" borderId="0" xfId="0" applyFont="1" applyAlignment="1">
      <alignment/>
    </xf>
    <xf numFmtId="170" fontId="27" fillId="0" borderId="0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/>
    </xf>
    <xf numFmtId="170" fontId="22" fillId="0" borderId="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170" fontId="22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170" fontId="28" fillId="0" borderId="4" xfId="0" applyNumberFormat="1" applyFont="1" applyFill="1" applyBorder="1" applyAlignment="1">
      <alignment horizontal="right" vertical="center"/>
    </xf>
    <xf numFmtId="170" fontId="27" fillId="0" borderId="0" xfId="0" applyNumberFormat="1" applyFont="1" applyAlignment="1">
      <alignment horizontal="left" vertical="center"/>
    </xf>
    <xf numFmtId="2" fontId="28" fillId="0" borderId="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 vertical="center"/>
    </xf>
    <xf numFmtId="0" fontId="0" fillId="0" borderId="2" xfId="0" applyBorder="1" applyAlignment="1">
      <alignment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174" fontId="16" fillId="0" borderId="4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16" fillId="0" borderId="4" xfId="0" applyNumberFormat="1" applyFont="1" applyFill="1" applyBorder="1" applyAlignment="1">
      <alignment horizontal="center" vertical="center"/>
    </xf>
    <xf numFmtId="174" fontId="16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2" fillId="0" borderId="0" xfId="0" applyFont="1" applyAlignment="1">
      <alignment/>
    </xf>
    <xf numFmtId="170" fontId="22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69" fontId="27" fillId="0" borderId="0" xfId="0" applyNumberFormat="1" applyFont="1" applyAlignment="1">
      <alignment horizontal="left" vertical="center"/>
    </xf>
    <xf numFmtId="171" fontId="3" fillId="0" borderId="4" xfId="0" applyNumberFormat="1" applyFont="1" applyBorder="1" applyAlignment="1">
      <alignment horizontal="center" vertical="center" shrinkToFit="1"/>
    </xf>
    <xf numFmtId="1" fontId="16" fillId="0" borderId="4" xfId="0" applyNumberFormat="1" applyFont="1" applyFill="1" applyBorder="1" applyAlignment="1">
      <alignment horizontal="center" vertical="center" shrinkToFit="1"/>
    </xf>
    <xf numFmtId="169" fontId="2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/>
    </xf>
    <xf numFmtId="1" fontId="16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/>
    </xf>
    <xf numFmtId="173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6" fillId="0" borderId="0" xfId="0" applyFont="1" applyAlignment="1">
      <alignment horizontal="left" indent="1"/>
    </xf>
    <xf numFmtId="0" fontId="5" fillId="0" borderId="0" xfId="0" applyFont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indent="1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0" fontId="32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indent="1"/>
    </xf>
    <xf numFmtId="0" fontId="0" fillId="0" borderId="0" xfId="0" applyNumberForma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3" fillId="0" borderId="4" xfId="0" applyFont="1" applyBorder="1" applyAlignment="1" applyProtection="1">
      <alignment horizontal="center" vertical="center"/>
      <protection locked="0"/>
    </xf>
    <xf numFmtId="1" fontId="23" fillId="0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9" fontId="23" fillId="0" borderId="4" xfId="19" applyFont="1" applyBorder="1" applyAlignment="1" applyProtection="1">
      <alignment horizontal="center" vertical="center"/>
      <protection locked="0"/>
    </xf>
    <xf numFmtId="2" fontId="23" fillId="0" borderId="4" xfId="0" applyNumberFormat="1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174" fontId="23" fillId="0" borderId="4" xfId="0" applyNumberFormat="1" applyFont="1" applyBorder="1" applyAlignment="1" applyProtection="1">
      <alignment horizontal="center" vertical="center"/>
      <protection locked="0"/>
    </xf>
    <xf numFmtId="1" fontId="23" fillId="0" borderId="4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170" fontId="16" fillId="0" borderId="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9" fontId="0" fillId="0" borderId="0" xfId="0" applyNumberFormat="1" applyAlignment="1">
      <alignment/>
    </xf>
    <xf numFmtId="9" fontId="33" fillId="0" borderId="4" xfId="0" applyNumberFormat="1" applyFont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169" fontId="19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4" fillId="0" borderId="6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170" fontId="22" fillId="0" borderId="3" xfId="0" applyNumberFormat="1" applyFont="1" applyBorder="1" applyAlignment="1">
      <alignment horizontal="center" vertical="center"/>
    </xf>
    <xf numFmtId="169" fontId="2" fillId="0" borderId="5" xfId="0" applyNumberFormat="1" applyFont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 shrinkToFit="1"/>
    </xf>
    <xf numFmtId="0" fontId="33" fillId="0" borderId="9" xfId="0" applyFont="1" applyBorder="1" applyAlignment="1">
      <alignment horizontal="left" vertical="center" indent="1"/>
    </xf>
    <xf numFmtId="0" fontId="33" fillId="0" borderId="0" xfId="0" applyFont="1" applyAlignment="1">
      <alignment horizontal="left" vertical="center" indent="1"/>
    </xf>
    <xf numFmtId="169" fontId="28" fillId="0" borderId="7" xfId="0" applyNumberFormat="1" applyFont="1" applyBorder="1" applyAlignment="1">
      <alignment horizontal="center" vertical="center"/>
    </xf>
    <xf numFmtId="169" fontId="28" fillId="0" borderId="8" xfId="0" applyNumberFormat="1" applyFont="1" applyBorder="1" applyAlignment="1">
      <alignment horizontal="center" vertical="center"/>
    </xf>
    <xf numFmtId="1" fontId="16" fillId="0" borderId="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/>
    </xf>
    <xf numFmtId="169" fontId="28" fillId="0" borderId="4" xfId="0" applyNumberFormat="1" applyFont="1" applyBorder="1" applyAlignment="1">
      <alignment horizontal="center" vertical="center"/>
    </xf>
    <xf numFmtId="2" fontId="28" fillId="0" borderId="7" xfId="0" applyNumberFormat="1" applyFont="1" applyBorder="1" applyAlignment="1">
      <alignment horizontal="center" vertical="center"/>
    </xf>
    <xf numFmtId="2" fontId="28" fillId="0" borderId="8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8" xfId="0" applyFont="1" applyBorder="1" applyAlignment="1" applyProtection="1">
      <alignment horizontal="center" vertical="center"/>
      <protection locked="0"/>
    </xf>
    <xf numFmtId="175" fontId="3" fillId="0" borderId="7" xfId="0" applyNumberFormat="1" applyFont="1" applyBorder="1" applyAlignment="1">
      <alignment horizontal="center" vertical="center" shrinkToFit="1"/>
    </xf>
    <xf numFmtId="175" fontId="3" fillId="0" borderId="8" xfId="0" applyNumberFormat="1" applyFont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24" fillId="0" borderId="4" xfId="0" applyFont="1" applyBorder="1" applyAlignment="1" applyProtection="1">
      <alignment horizontal="center" vertical="center"/>
      <protection locked="0"/>
    </xf>
    <xf numFmtId="172" fontId="0" fillId="0" borderId="0" xfId="0" applyNumberFormat="1" applyAlignment="1">
      <alignment horizontal="center"/>
    </xf>
    <xf numFmtId="174" fontId="28" fillId="0" borderId="4" xfId="0" applyNumberFormat="1" applyFont="1" applyBorder="1" applyAlignment="1">
      <alignment horizontal="center" vertical="center"/>
    </xf>
    <xf numFmtId="9" fontId="28" fillId="0" borderId="4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 shrinkToFit="1"/>
    </xf>
    <xf numFmtId="1" fontId="3" fillId="0" borderId="8" xfId="0" applyNumberFormat="1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182</xdr:row>
      <xdr:rowOff>0</xdr:rowOff>
    </xdr:from>
    <xdr:to>
      <xdr:col>11</xdr:col>
      <xdr:colOff>57150</xdr:colOff>
      <xdr:row>182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0" y="3512820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19</xdr:row>
      <xdr:rowOff>19050</xdr:rowOff>
    </xdr:from>
    <xdr:to>
      <xdr:col>11</xdr:col>
      <xdr:colOff>114300</xdr:colOff>
      <xdr:row>23</xdr:row>
      <xdr:rowOff>161925</xdr:rowOff>
    </xdr:to>
    <xdr:sp>
      <xdr:nvSpPr>
        <xdr:cNvPr id="2" name="AutoShape 4"/>
        <xdr:cNvSpPr>
          <a:spLocks/>
        </xdr:cNvSpPr>
      </xdr:nvSpPr>
      <xdr:spPr>
        <a:xfrm>
          <a:off x="4057650" y="3810000"/>
          <a:ext cx="7620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33</xdr:row>
      <xdr:rowOff>0</xdr:rowOff>
    </xdr:from>
    <xdr:to>
      <xdr:col>11</xdr:col>
      <xdr:colOff>28575</xdr:colOff>
      <xdr:row>42</xdr:row>
      <xdr:rowOff>19050</xdr:rowOff>
    </xdr:to>
    <xdr:sp>
      <xdr:nvSpPr>
        <xdr:cNvPr id="3" name="AutoShape 5"/>
        <xdr:cNvSpPr>
          <a:spLocks/>
        </xdr:cNvSpPr>
      </xdr:nvSpPr>
      <xdr:spPr>
        <a:xfrm>
          <a:off x="3971925" y="6515100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80</xdr:row>
      <xdr:rowOff>38100</xdr:rowOff>
    </xdr:from>
    <xdr:to>
      <xdr:col>11</xdr:col>
      <xdr:colOff>28575</xdr:colOff>
      <xdr:row>84</xdr:row>
      <xdr:rowOff>152400</xdr:rowOff>
    </xdr:to>
    <xdr:sp>
      <xdr:nvSpPr>
        <xdr:cNvPr id="4" name="AutoShape 6"/>
        <xdr:cNvSpPr>
          <a:spLocks/>
        </xdr:cNvSpPr>
      </xdr:nvSpPr>
      <xdr:spPr>
        <a:xfrm>
          <a:off x="3971925" y="15649575"/>
          <a:ext cx="76200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82</xdr:row>
      <xdr:rowOff>95250</xdr:rowOff>
    </xdr:from>
    <xdr:to>
      <xdr:col>10</xdr:col>
      <xdr:colOff>276225</xdr:colOff>
      <xdr:row>82</xdr:row>
      <xdr:rowOff>95250</xdr:rowOff>
    </xdr:to>
    <xdr:sp>
      <xdr:nvSpPr>
        <xdr:cNvPr id="5" name="Line 7"/>
        <xdr:cNvSpPr>
          <a:spLocks/>
        </xdr:cNvSpPr>
      </xdr:nvSpPr>
      <xdr:spPr>
        <a:xfrm flipH="1">
          <a:off x="3733800" y="16087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111</xdr:row>
      <xdr:rowOff>19050</xdr:rowOff>
    </xdr:from>
    <xdr:to>
      <xdr:col>25</xdr:col>
      <xdr:colOff>209550</xdr:colOff>
      <xdr:row>111</xdr:row>
      <xdr:rowOff>19050</xdr:rowOff>
    </xdr:to>
    <xdr:sp>
      <xdr:nvSpPr>
        <xdr:cNvPr id="6" name="Line 8"/>
        <xdr:cNvSpPr>
          <a:spLocks/>
        </xdr:cNvSpPr>
      </xdr:nvSpPr>
      <xdr:spPr>
        <a:xfrm flipH="1">
          <a:off x="11287125" y="215646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21</xdr:row>
      <xdr:rowOff>85725</xdr:rowOff>
    </xdr:from>
    <xdr:to>
      <xdr:col>10</xdr:col>
      <xdr:colOff>295275</xdr:colOff>
      <xdr:row>21</xdr:row>
      <xdr:rowOff>85725</xdr:rowOff>
    </xdr:to>
    <xdr:sp>
      <xdr:nvSpPr>
        <xdr:cNvPr id="7" name="Line 9"/>
        <xdr:cNvSpPr>
          <a:spLocks/>
        </xdr:cNvSpPr>
      </xdr:nvSpPr>
      <xdr:spPr>
        <a:xfrm flipH="1">
          <a:off x="3752850" y="42576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37</xdr:row>
      <xdr:rowOff>104775</xdr:rowOff>
    </xdr:from>
    <xdr:to>
      <xdr:col>10</xdr:col>
      <xdr:colOff>276225</xdr:colOff>
      <xdr:row>37</xdr:row>
      <xdr:rowOff>104775</xdr:rowOff>
    </xdr:to>
    <xdr:sp>
      <xdr:nvSpPr>
        <xdr:cNvPr id="8" name="Line 10"/>
        <xdr:cNvSpPr>
          <a:spLocks/>
        </xdr:cNvSpPr>
      </xdr:nvSpPr>
      <xdr:spPr>
        <a:xfrm flipH="1">
          <a:off x="3695700" y="73818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5"/>
  <sheetViews>
    <sheetView showGridLines="0" tabSelected="1" workbookViewId="0" topLeftCell="A74">
      <selection activeCell="M93" sqref="M93"/>
    </sheetView>
  </sheetViews>
  <sheetFormatPr defaultColWidth="9.140625" defaultRowHeight="12.75"/>
  <cols>
    <col min="1" max="1" width="4.8515625" style="6" customWidth="1"/>
    <col min="2" max="2" width="5.57421875" style="0" customWidth="1"/>
    <col min="3" max="3" width="2.57421875" style="0" customWidth="1"/>
    <col min="4" max="5" width="6.7109375" style="0" customWidth="1"/>
    <col min="6" max="9" width="5.7109375" style="0" customWidth="1"/>
    <col min="10" max="10" width="5.7109375" style="7" customWidth="1"/>
    <col min="11" max="11" width="5.28125" style="0" customWidth="1"/>
    <col min="12" max="12" width="2.421875" style="0" customWidth="1"/>
    <col min="13" max="13" width="5.7109375" style="0" customWidth="1"/>
    <col min="14" max="16" width="7.7109375" style="0" customWidth="1"/>
    <col min="17" max="17" width="5.7109375" style="0" customWidth="1"/>
    <col min="18" max="251" width="9.00390625" style="0" bestFit="1" customWidth="1"/>
    <col min="252" max="16384" width="9.00390625" style="0" customWidth="1"/>
  </cols>
  <sheetData>
    <row r="1" spans="1:17" ht="23.25" thickBot="1">
      <c r="A1" s="3" t="s">
        <v>120</v>
      </c>
      <c r="B1" s="4"/>
      <c r="C1" s="4"/>
      <c r="D1" s="4"/>
      <c r="E1" s="4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</row>
    <row r="2" ht="15.75" thickTop="1"/>
    <row r="3" ht="15">
      <c r="P3" s="2" t="s">
        <v>135</v>
      </c>
    </row>
    <row r="4" spans="2:16" ht="15">
      <c r="B4" s="164">
        <v>1</v>
      </c>
      <c r="D4" s="165" t="s">
        <v>0</v>
      </c>
      <c r="E4" s="8"/>
      <c r="F4" s="8"/>
      <c r="G4" s="8"/>
      <c r="H4" s="8"/>
      <c r="I4" s="8"/>
      <c r="J4" s="9"/>
      <c r="P4" s="173"/>
    </row>
    <row r="5" spans="2:10" ht="15">
      <c r="B5" s="164">
        <v>2</v>
      </c>
      <c r="D5" s="165" t="s">
        <v>1</v>
      </c>
      <c r="E5" s="8"/>
      <c r="F5" s="8"/>
      <c r="G5" s="8"/>
      <c r="H5" s="8"/>
      <c r="I5" s="8"/>
      <c r="J5" s="9"/>
    </row>
    <row r="6" spans="2:10" ht="15">
      <c r="B6" s="164">
        <v>3</v>
      </c>
      <c r="D6" s="165" t="s">
        <v>129</v>
      </c>
      <c r="E6" s="8"/>
      <c r="F6" s="8"/>
      <c r="G6" s="8"/>
      <c r="H6" s="8"/>
      <c r="I6" s="8"/>
      <c r="J6" s="9"/>
    </row>
    <row r="7" spans="2:10" ht="15">
      <c r="B7" s="164">
        <v>4</v>
      </c>
      <c r="D7" s="165" t="s">
        <v>2</v>
      </c>
      <c r="E7" s="8"/>
      <c r="F7" s="10"/>
      <c r="G7" s="8"/>
      <c r="H7" s="8"/>
      <c r="I7" s="8"/>
      <c r="J7" s="9"/>
    </row>
    <row r="8" spans="2:10" ht="15">
      <c r="B8" s="164">
        <v>5</v>
      </c>
      <c r="D8" s="165" t="s">
        <v>3</v>
      </c>
      <c r="E8" s="8"/>
      <c r="F8" s="10"/>
      <c r="G8" s="8"/>
      <c r="H8" s="8"/>
      <c r="I8" s="8"/>
      <c r="J8" s="9"/>
    </row>
    <row r="9" spans="2:10" ht="15">
      <c r="B9" s="164">
        <v>6</v>
      </c>
      <c r="D9" s="165" t="s">
        <v>4</v>
      </c>
      <c r="E9" s="8"/>
      <c r="F9" s="10"/>
      <c r="G9" s="8"/>
      <c r="H9" s="8"/>
      <c r="I9" s="8"/>
      <c r="J9" s="9"/>
    </row>
    <row r="10" spans="2:10" ht="15">
      <c r="B10" s="164">
        <v>7</v>
      </c>
      <c r="D10" s="165" t="s">
        <v>5</v>
      </c>
      <c r="E10" s="8"/>
      <c r="F10" s="10"/>
      <c r="G10" s="8"/>
      <c r="H10" s="8"/>
      <c r="I10" s="8"/>
      <c r="J10" s="9"/>
    </row>
    <row r="11" spans="2:10" ht="15">
      <c r="B11" s="164">
        <v>8</v>
      </c>
      <c r="D11" s="165" t="s">
        <v>6</v>
      </c>
      <c r="E11" s="8"/>
      <c r="F11" s="10"/>
      <c r="G11" s="8"/>
      <c r="H11" s="8"/>
      <c r="I11" s="8"/>
      <c r="J11" s="9"/>
    </row>
    <row r="12" spans="2:10" ht="15">
      <c r="B12" s="164">
        <v>9</v>
      </c>
      <c r="D12" s="165" t="s">
        <v>7</v>
      </c>
      <c r="E12" s="8"/>
      <c r="F12" s="10"/>
      <c r="G12" s="8"/>
      <c r="H12" s="8"/>
      <c r="I12" s="8"/>
      <c r="J12" s="9"/>
    </row>
    <row r="13" spans="2:15" ht="15">
      <c r="B13" s="164"/>
      <c r="E13" s="8"/>
      <c r="F13" s="10"/>
      <c r="G13" s="8"/>
      <c r="H13" s="8"/>
      <c r="I13" s="8"/>
      <c r="J13" s="9"/>
      <c r="O13" s="7"/>
    </row>
    <row r="14" spans="4:10" ht="15">
      <c r="D14" s="11"/>
      <c r="F14" s="12"/>
      <c r="J14" s="13"/>
    </row>
    <row r="15" spans="4:6" ht="15">
      <c r="D15" s="29" t="s">
        <v>8</v>
      </c>
      <c r="F15" s="15"/>
    </row>
    <row r="16" spans="4:6" ht="15">
      <c r="D16" s="14"/>
      <c r="F16" s="15"/>
    </row>
    <row r="17" ht="15">
      <c r="D17" s="16"/>
    </row>
    <row r="18" spans="1:17" ht="18.75" thickBot="1">
      <c r="A18" s="17" t="s">
        <v>9</v>
      </c>
      <c r="B18" s="18" t="s">
        <v>10</v>
      </c>
      <c r="C18" s="4"/>
      <c r="D18" s="4"/>
      <c r="E18" s="19"/>
      <c r="F18" s="4"/>
      <c r="G18" s="4"/>
      <c r="H18" s="4"/>
      <c r="I18" s="4"/>
      <c r="J18" s="5"/>
      <c r="K18" s="4"/>
      <c r="L18" s="4"/>
      <c r="M18" s="20"/>
      <c r="N18" s="21"/>
      <c r="O18" s="4"/>
      <c r="P18" s="4"/>
      <c r="Q18" s="4"/>
    </row>
    <row r="19" ht="15.75" thickTop="1">
      <c r="E19" s="12"/>
    </row>
    <row r="20" spans="3:15" ht="15">
      <c r="C20" s="22" t="s">
        <v>11</v>
      </c>
      <c r="D20" s="23"/>
      <c r="E20" s="24"/>
      <c r="F20" s="24"/>
      <c r="G20" s="23"/>
      <c r="H20" s="23"/>
      <c r="I20" s="25"/>
      <c r="J20" s="26"/>
      <c r="M20" s="27" t="s">
        <v>12</v>
      </c>
      <c r="N20" s="181" t="s">
        <v>13</v>
      </c>
      <c r="O20" s="181"/>
    </row>
    <row r="21" spans="3:15" ht="15">
      <c r="C21" s="28"/>
      <c r="D21" s="29" t="s">
        <v>14</v>
      </c>
      <c r="E21" s="30"/>
      <c r="F21" s="30"/>
      <c r="G21" s="30"/>
      <c r="H21" s="30"/>
      <c r="I21" s="30"/>
      <c r="J21" s="156">
        <v>0</v>
      </c>
      <c r="M21" s="31" t="s">
        <v>15</v>
      </c>
      <c r="N21" s="182" t="s">
        <v>16</v>
      </c>
      <c r="O21" s="182"/>
    </row>
    <row r="22" spans="3:15" ht="15">
      <c r="C22" s="12"/>
      <c r="D22" s="29" t="s">
        <v>17</v>
      </c>
      <c r="E22" s="30"/>
      <c r="F22" s="30"/>
      <c r="G22" s="30"/>
      <c r="H22" s="30"/>
      <c r="I22" s="30"/>
      <c r="J22" s="156">
        <v>0</v>
      </c>
      <c r="M22" s="31" t="s">
        <v>18</v>
      </c>
      <c r="N22" s="183" t="s">
        <v>19</v>
      </c>
      <c r="O22" s="183"/>
    </row>
    <row r="23" spans="5:15" ht="15">
      <c r="E23" s="12"/>
      <c r="M23" s="31" t="s">
        <v>20</v>
      </c>
      <c r="N23" s="183" t="s">
        <v>21</v>
      </c>
      <c r="O23" s="183"/>
    </row>
    <row r="24" spans="3:15" ht="15">
      <c r="C24" s="32" t="s">
        <v>22</v>
      </c>
      <c r="D24" s="33"/>
      <c r="E24" s="34"/>
      <c r="F24" s="34"/>
      <c r="G24" s="33"/>
      <c r="H24" s="33"/>
      <c r="I24" s="35"/>
      <c r="J24" s="36"/>
      <c r="M24" s="31" t="s">
        <v>23</v>
      </c>
      <c r="N24" s="184" t="s">
        <v>24</v>
      </c>
      <c r="O24" s="184"/>
    </row>
    <row r="25" spans="3:11" ht="15">
      <c r="C25" s="37"/>
      <c r="D25" s="38" t="s">
        <v>25</v>
      </c>
      <c r="E25" s="39"/>
      <c r="F25" s="40"/>
      <c r="G25" s="40"/>
      <c r="H25" s="40"/>
      <c r="I25" s="41"/>
      <c r="J25" s="42" t="str">
        <f>IF(J22=1.5,((((((100/150)^1.85)*(J21^1.85)/(1.61^4.8655))*0.2083)/2.31)*(1.875/100)*2),IF(J22=2,((((((100/150)^1.85)*(J21^1.85)/(2.07^4.8655))*0.2083)/2.31)*(2.5/100)*2),IF(J22=3,((((((100/150)^1.85)*(J21^1.85)/(3.07^4.8655))*0.2083)/2.31)*(3.75/100)*2),IF(J22=4,((((((100/150)^1.85)*(J21^1.85)/(4.03^4.8655))*0.2083)/2.31)*(5/100)*2)," "))))</f>
        <v> </v>
      </c>
      <c r="K25" s="43"/>
    </row>
    <row r="26" spans="3:14" ht="15">
      <c r="C26" s="44"/>
      <c r="D26" s="38" t="s">
        <v>26</v>
      </c>
      <c r="E26" s="39"/>
      <c r="I26" s="45"/>
      <c r="J26" s="46" t="str">
        <f>IF(J22=1.5,(J21/((1.61*1.61)*2.45)),IF(J22=2,(J21/((2.07*2.07)*2.45)),IF(J22=3,(J21/((3.07*3.07)*2.45)),IF(J22=4,(J21/((4.03*4.03)*2.45))," "))))</f>
        <v> </v>
      </c>
      <c r="N26" s="47"/>
    </row>
    <row r="27" ht="15">
      <c r="E27" s="12"/>
    </row>
    <row r="28" spans="4:15" ht="15">
      <c r="D28" s="48" t="s">
        <v>27</v>
      </c>
      <c r="E28" s="12"/>
      <c r="N28" s="49"/>
      <c r="O28" s="49"/>
    </row>
    <row r="29" spans="5:13" ht="15">
      <c r="E29" s="12"/>
      <c r="M29" s="1"/>
    </row>
    <row r="30" spans="5:13" ht="15">
      <c r="E30" s="12"/>
      <c r="M30" s="1"/>
    </row>
    <row r="31" ht="15">
      <c r="D31" s="16"/>
    </row>
    <row r="32" spans="1:17" ht="18.75" thickBot="1">
      <c r="A32" s="17" t="s">
        <v>28</v>
      </c>
      <c r="B32" s="18" t="s">
        <v>29</v>
      </c>
      <c r="C32" s="4"/>
      <c r="D32" s="4"/>
      <c r="E32" s="4"/>
      <c r="F32" s="4"/>
      <c r="G32" s="4"/>
      <c r="H32" s="4"/>
      <c r="I32" s="4"/>
      <c r="J32" s="5"/>
      <c r="K32" s="4"/>
      <c r="L32" s="4"/>
      <c r="M32" s="4"/>
      <c r="N32" s="4"/>
      <c r="O32" s="4"/>
      <c r="P32" s="4"/>
      <c r="Q32" s="49"/>
    </row>
    <row r="33" ht="15.75" thickTop="1">
      <c r="Q33" s="49"/>
    </row>
    <row r="34" spans="3:17" ht="15">
      <c r="C34" s="22" t="s">
        <v>11</v>
      </c>
      <c r="D34" s="23"/>
      <c r="E34" s="24"/>
      <c r="F34" s="24"/>
      <c r="G34" s="23"/>
      <c r="H34" s="23"/>
      <c r="I34" s="25"/>
      <c r="J34" s="26"/>
      <c r="M34" s="50" t="s">
        <v>12</v>
      </c>
      <c r="N34" s="51" t="s">
        <v>30</v>
      </c>
      <c r="O34" s="52" t="s">
        <v>31</v>
      </c>
      <c r="P34" s="51" t="s">
        <v>32</v>
      </c>
      <c r="Q34" s="53"/>
    </row>
    <row r="35" spans="3:17" ht="15">
      <c r="C35" s="28"/>
      <c r="D35" s="29" t="s">
        <v>14</v>
      </c>
      <c r="E35" s="30"/>
      <c r="F35" s="30"/>
      <c r="G35" s="30"/>
      <c r="H35" s="30"/>
      <c r="I35" s="30"/>
      <c r="J35" s="156"/>
      <c r="M35" s="54" t="s">
        <v>33</v>
      </c>
      <c r="N35" s="55">
        <v>1.19</v>
      </c>
      <c r="O35" s="55">
        <v>1.12</v>
      </c>
      <c r="P35" s="56">
        <v>1.05</v>
      </c>
      <c r="Q35" s="57"/>
    </row>
    <row r="36" spans="3:17" ht="15">
      <c r="C36" s="12"/>
      <c r="D36" s="29" t="s">
        <v>34</v>
      </c>
      <c r="E36" s="30"/>
      <c r="F36" s="30"/>
      <c r="G36" s="30"/>
      <c r="H36" s="30"/>
      <c r="I36" s="30"/>
      <c r="J36" s="156"/>
      <c r="M36" s="54" t="s">
        <v>35</v>
      </c>
      <c r="N36" s="56">
        <v>1.5</v>
      </c>
      <c r="O36" s="56">
        <v>1.41</v>
      </c>
      <c r="P36" s="56">
        <v>1.38</v>
      </c>
      <c r="Q36" s="57"/>
    </row>
    <row r="37" spans="3:17" ht="15">
      <c r="C37" s="44"/>
      <c r="D37" s="58" t="s">
        <v>36</v>
      </c>
      <c r="E37" s="30"/>
      <c r="F37" s="30"/>
      <c r="G37" s="30"/>
      <c r="H37" s="30"/>
      <c r="I37" s="30"/>
      <c r="J37" s="157"/>
      <c r="M37" s="54" t="s">
        <v>15</v>
      </c>
      <c r="N37" s="56">
        <v>1.72</v>
      </c>
      <c r="O37" s="56">
        <v>1.62</v>
      </c>
      <c r="P37" s="56">
        <v>1.61</v>
      </c>
      <c r="Q37" s="57"/>
    </row>
    <row r="38" spans="3:17" ht="15">
      <c r="C38" s="44"/>
      <c r="D38" s="29" t="s">
        <v>37</v>
      </c>
      <c r="E38" s="59"/>
      <c r="F38" s="30"/>
      <c r="G38" s="30"/>
      <c r="H38" s="30"/>
      <c r="I38" s="30"/>
      <c r="J38" s="158"/>
      <c r="M38" s="54" t="s">
        <v>18</v>
      </c>
      <c r="N38" s="56">
        <v>2.15</v>
      </c>
      <c r="O38" s="56">
        <v>2.02</v>
      </c>
      <c r="P38" s="56">
        <v>2.07</v>
      </c>
      <c r="Q38" s="57"/>
    </row>
    <row r="39" spans="2:17" ht="15">
      <c r="B39" s="40"/>
      <c r="C39" s="37"/>
      <c r="D39" s="37"/>
      <c r="E39" s="37"/>
      <c r="F39" s="37"/>
      <c r="G39" s="40"/>
      <c r="H39" s="40"/>
      <c r="I39" s="40"/>
      <c r="J39" s="60"/>
      <c r="K39" s="40"/>
      <c r="L39" s="40"/>
      <c r="M39" s="54" t="s">
        <v>38</v>
      </c>
      <c r="N39" s="56">
        <v>2.6</v>
      </c>
      <c r="O39" s="56">
        <v>2.45</v>
      </c>
      <c r="P39" s="56">
        <v>2.47</v>
      </c>
      <c r="Q39" s="57"/>
    </row>
    <row r="40" spans="2:17" ht="15">
      <c r="B40" s="40"/>
      <c r="C40" s="32" t="s">
        <v>22</v>
      </c>
      <c r="D40" s="33"/>
      <c r="E40" s="34"/>
      <c r="F40" s="34"/>
      <c r="G40" s="33"/>
      <c r="H40" s="33"/>
      <c r="I40" s="35"/>
      <c r="J40" s="61"/>
      <c r="K40" s="40"/>
      <c r="L40" s="40"/>
      <c r="M40" s="54" t="s">
        <v>20</v>
      </c>
      <c r="N40" s="56">
        <v>3.17</v>
      </c>
      <c r="O40" s="56">
        <v>3.99</v>
      </c>
      <c r="P40" s="56">
        <v>3.07</v>
      </c>
      <c r="Q40" s="57"/>
    </row>
    <row r="41" spans="2:17" ht="15">
      <c r="B41" s="40"/>
      <c r="C41" s="37"/>
      <c r="D41" s="38" t="s">
        <v>39</v>
      </c>
      <c r="E41" s="39"/>
      <c r="F41" s="40"/>
      <c r="G41" s="40"/>
      <c r="H41" s="40"/>
      <c r="I41" s="40"/>
      <c r="J41" s="168" t="e">
        <f>(((((100/J36)^1.85)*(J35^1.85)/(J38^4.8655))*0.2083)/2.31)*(J37/100)</f>
        <v>#DIV/0!</v>
      </c>
      <c r="K41" s="63"/>
      <c r="L41" s="40"/>
      <c r="M41" s="54" t="s">
        <v>23</v>
      </c>
      <c r="N41" s="56">
        <v>4.07</v>
      </c>
      <c r="O41" s="56">
        <v>4.026</v>
      </c>
      <c r="P41" s="56">
        <v>4.026</v>
      </c>
      <c r="Q41" s="64"/>
    </row>
    <row r="42" spans="3:17" ht="15">
      <c r="C42" s="44"/>
      <c r="D42" s="38" t="s">
        <v>40</v>
      </c>
      <c r="E42" s="39"/>
      <c r="J42" s="62" t="e">
        <f>(J35/(J38*J38*2.45))</f>
        <v>#DIV/0!</v>
      </c>
      <c r="M42" s="65" t="s">
        <v>41</v>
      </c>
      <c r="N42" s="66">
        <v>5.99</v>
      </c>
      <c r="O42" s="66">
        <v>5.64</v>
      </c>
      <c r="P42" s="66">
        <v>6.07</v>
      </c>
      <c r="Q42" s="67"/>
    </row>
    <row r="43" spans="3:14" ht="15">
      <c r="C43" s="44"/>
      <c r="D43" s="44"/>
      <c r="E43" s="44"/>
      <c r="F43" s="44"/>
      <c r="M43" s="68"/>
      <c r="N43" s="69"/>
    </row>
    <row r="44" spans="3:15" ht="15">
      <c r="C44" s="44"/>
      <c r="D44" s="44"/>
      <c r="E44" s="44"/>
      <c r="F44" s="44"/>
      <c r="O44" s="70"/>
    </row>
    <row r="45" spans="3:15" ht="15">
      <c r="C45" s="44"/>
      <c r="D45" s="44"/>
      <c r="E45" s="44"/>
      <c r="F45" s="44"/>
      <c r="O45" s="70"/>
    </row>
    <row r="46" spans="1:17" ht="18.75" thickBot="1">
      <c r="A46" s="17" t="s">
        <v>42</v>
      </c>
      <c r="B46" s="18" t="s">
        <v>131</v>
      </c>
      <c r="C46" s="111"/>
      <c r="D46" s="111"/>
      <c r="E46" s="111"/>
      <c r="F46" s="111"/>
      <c r="G46" s="111"/>
      <c r="H46" s="111"/>
      <c r="I46" s="111"/>
      <c r="J46" s="112"/>
      <c r="K46" s="4"/>
      <c r="L46" s="4"/>
      <c r="M46" s="4"/>
      <c r="N46" s="4"/>
      <c r="O46" s="4"/>
      <c r="P46" s="4"/>
      <c r="Q46" s="4"/>
    </row>
    <row r="47" spans="2:10" ht="15.75" thickTop="1">
      <c r="B47" s="78"/>
      <c r="C47" s="78"/>
      <c r="D47" s="78"/>
      <c r="E47" s="78"/>
      <c r="F47" s="78"/>
      <c r="G47" s="78"/>
      <c r="H47" s="78"/>
      <c r="I47" s="78"/>
      <c r="J47" s="113"/>
    </row>
    <row r="48" spans="2:10" ht="15">
      <c r="B48" s="78"/>
      <c r="C48" s="22" t="s">
        <v>11</v>
      </c>
      <c r="D48" s="23"/>
      <c r="E48" s="24"/>
      <c r="F48" s="24"/>
      <c r="G48" s="23"/>
      <c r="H48" s="25"/>
      <c r="I48" s="78"/>
      <c r="J48" s="113"/>
    </row>
    <row r="49" spans="2:10" ht="15">
      <c r="B49" s="78"/>
      <c r="C49" s="174"/>
      <c r="D49" s="74" t="s">
        <v>77</v>
      </c>
      <c r="E49" s="175"/>
      <c r="F49" s="175"/>
      <c r="G49" s="25"/>
      <c r="H49" s="25"/>
      <c r="I49" s="210">
        <v>10</v>
      </c>
      <c r="J49" s="210"/>
    </row>
    <row r="50" spans="2:14" ht="15">
      <c r="B50" s="78"/>
      <c r="C50" s="174"/>
      <c r="D50" s="75" t="s">
        <v>81</v>
      </c>
      <c r="E50" s="175"/>
      <c r="F50" s="175"/>
      <c r="G50" s="25"/>
      <c r="H50" s="177"/>
      <c r="I50" s="210">
        <v>3000</v>
      </c>
      <c r="J50" s="210"/>
      <c r="K50" s="1" t="s">
        <v>106</v>
      </c>
      <c r="L50" s="214">
        <f>I50*0.748052</f>
        <v>2244.156</v>
      </c>
      <c r="M50" s="215"/>
      <c r="N50" s="178" t="s">
        <v>136</v>
      </c>
    </row>
    <row r="51" spans="2:10" ht="15">
      <c r="B51" s="78"/>
      <c r="C51" s="174"/>
      <c r="D51" s="74" t="s">
        <v>132</v>
      </c>
      <c r="E51" s="175"/>
      <c r="F51" s="175"/>
      <c r="G51" s="25"/>
      <c r="H51" s="25"/>
      <c r="I51" s="210">
        <v>0</v>
      </c>
      <c r="J51" s="210"/>
    </row>
    <row r="52" spans="2:10" ht="15">
      <c r="B52" s="78"/>
      <c r="C52" s="78"/>
      <c r="D52" s="78"/>
      <c r="E52" s="78"/>
      <c r="F52" s="78"/>
      <c r="G52" s="78"/>
      <c r="H52" s="78"/>
      <c r="I52" s="113"/>
      <c r="J52" s="113"/>
    </row>
    <row r="53" spans="2:10" ht="15">
      <c r="B53" s="78"/>
      <c r="C53" s="22" t="s">
        <v>22</v>
      </c>
      <c r="D53" s="80"/>
      <c r="E53" s="81"/>
      <c r="F53" s="81"/>
      <c r="G53" s="80"/>
      <c r="H53" s="82"/>
      <c r="I53" s="176"/>
      <c r="J53" s="26"/>
    </row>
    <row r="54" spans="2:18" ht="15">
      <c r="B54" s="78"/>
      <c r="C54" s="73"/>
      <c r="D54" s="118" t="s">
        <v>133</v>
      </c>
      <c r="E54" s="75"/>
      <c r="F54" s="75"/>
      <c r="G54" s="75"/>
      <c r="H54" s="75"/>
      <c r="I54" s="212">
        <f>I50/(I49*36.3)</f>
        <v>8.264462809917354</v>
      </c>
      <c r="J54" s="212"/>
      <c r="K54" s="1"/>
      <c r="M54" s="49"/>
      <c r="Q54" s="211"/>
      <c r="R54" s="211"/>
    </row>
    <row r="55" spans="2:10" ht="15">
      <c r="B55" s="78"/>
      <c r="C55" s="76"/>
      <c r="D55" s="118" t="s">
        <v>134</v>
      </c>
      <c r="E55" s="75"/>
      <c r="F55" s="75"/>
      <c r="G55" s="75"/>
      <c r="H55" s="75"/>
      <c r="I55" s="213" t="e">
        <f>I54/I51</f>
        <v>#DIV/0!</v>
      </c>
      <c r="J55" s="213"/>
    </row>
    <row r="56" spans="2:10" ht="15">
      <c r="B56" s="78"/>
      <c r="C56" s="77"/>
      <c r="D56" s="76"/>
      <c r="E56" s="78"/>
      <c r="F56" s="78"/>
      <c r="G56" s="78"/>
      <c r="H56" s="78"/>
      <c r="I56" s="113"/>
      <c r="J56" s="114"/>
    </row>
    <row r="57" spans="2:10" ht="15">
      <c r="B57" s="78"/>
      <c r="I57" s="82"/>
      <c r="J57" s="83"/>
    </row>
    <row r="58" spans="3:6" ht="15">
      <c r="C58" s="44"/>
      <c r="D58" s="44"/>
      <c r="E58" s="44"/>
      <c r="F58" s="44"/>
    </row>
    <row r="59" spans="1:17" ht="18.75" thickBot="1">
      <c r="A59" s="17" t="s">
        <v>46</v>
      </c>
      <c r="B59" s="71" t="s">
        <v>121</v>
      </c>
      <c r="C59" s="4"/>
      <c r="D59" s="4"/>
      <c r="E59" s="4"/>
      <c r="F59" s="4"/>
      <c r="G59" s="4"/>
      <c r="H59" s="4"/>
      <c r="I59" s="4"/>
      <c r="J59" s="5"/>
      <c r="K59" s="4"/>
      <c r="L59" s="4"/>
      <c r="M59" s="4"/>
      <c r="N59" s="4"/>
      <c r="O59" s="4"/>
      <c r="P59" s="4"/>
      <c r="Q59" s="4"/>
    </row>
    <row r="60" ht="15.75" thickTop="1">
      <c r="J60" s="72"/>
    </row>
    <row r="61" spans="3:10" ht="15">
      <c r="C61" s="22" t="s">
        <v>11</v>
      </c>
      <c r="D61" s="23"/>
      <c r="E61" s="24"/>
      <c r="F61" s="24"/>
      <c r="G61" s="23"/>
      <c r="H61" s="23"/>
      <c r="I61" s="25"/>
      <c r="J61" s="26"/>
    </row>
    <row r="62" spans="3:10" ht="15">
      <c r="C62" s="73"/>
      <c r="D62" s="74" t="s">
        <v>43</v>
      </c>
      <c r="E62" s="75"/>
      <c r="F62" s="75"/>
      <c r="G62" s="75"/>
      <c r="H62" s="75"/>
      <c r="I62" s="75"/>
      <c r="J62" s="156">
        <v>225</v>
      </c>
    </row>
    <row r="63" spans="3:10" ht="15">
      <c r="C63" s="76"/>
      <c r="D63" s="29" t="s">
        <v>122</v>
      </c>
      <c r="E63" s="75"/>
      <c r="F63" s="75"/>
      <c r="G63" s="75"/>
      <c r="H63" s="75"/>
      <c r="I63" s="75"/>
      <c r="J63" s="156">
        <v>4</v>
      </c>
    </row>
    <row r="64" spans="3:14" ht="15">
      <c r="C64" s="76"/>
      <c r="D64" s="74" t="s">
        <v>123</v>
      </c>
      <c r="E64" s="75"/>
      <c r="F64" s="75"/>
      <c r="G64" s="75"/>
      <c r="H64" s="75"/>
      <c r="I64" s="75"/>
      <c r="J64" s="159">
        <v>0.7</v>
      </c>
      <c r="N64" s="74"/>
    </row>
    <row r="65" spans="3:14" ht="15">
      <c r="C65" s="76"/>
      <c r="D65" s="74" t="s">
        <v>124</v>
      </c>
      <c r="E65" s="75"/>
      <c r="F65" s="75"/>
      <c r="G65" s="75"/>
      <c r="H65" s="75"/>
      <c r="I65" s="75"/>
      <c r="J65" s="159">
        <v>0</v>
      </c>
      <c r="N65" s="170"/>
    </row>
    <row r="66" spans="3:10" ht="15">
      <c r="C66" s="77"/>
      <c r="D66" s="76"/>
      <c r="E66" s="78"/>
      <c r="F66" s="78"/>
      <c r="G66" s="78"/>
      <c r="H66" s="78"/>
      <c r="I66" s="78"/>
      <c r="J66" s="79"/>
    </row>
    <row r="67" spans="3:10" ht="15">
      <c r="C67" s="22" t="s">
        <v>22</v>
      </c>
      <c r="D67" s="80"/>
      <c r="E67" s="81"/>
      <c r="F67" s="81"/>
      <c r="G67" s="80"/>
      <c r="H67" s="80"/>
      <c r="I67" s="82"/>
      <c r="J67" s="83"/>
    </row>
    <row r="68" spans="3:11" ht="15">
      <c r="C68" s="84"/>
      <c r="D68" s="85" t="s">
        <v>125</v>
      </c>
      <c r="E68" s="86"/>
      <c r="F68" s="82"/>
      <c r="G68" s="82"/>
      <c r="H68" s="82"/>
      <c r="J68" s="87">
        <f>(J63*96.25)/J62</f>
        <v>1.711111111111111</v>
      </c>
      <c r="K68" s="88"/>
    </row>
    <row r="69" spans="3:11" ht="15">
      <c r="C69" s="84"/>
      <c r="D69" s="90" t="s">
        <v>45</v>
      </c>
      <c r="E69" s="86"/>
      <c r="F69" s="82"/>
      <c r="G69" s="82"/>
      <c r="H69" s="82"/>
      <c r="J69" s="171">
        <f>((J64-J65))</f>
        <v>0.7</v>
      </c>
      <c r="K69" s="88"/>
    </row>
    <row r="70" spans="3:10" ht="15">
      <c r="C70" s="49"/>
      <c r="D70" s="85" t="s">
        <v>44</v>
      </c>
      <c r="E70" s="49"/>
      <c r="F70" s="49"/>
      <c r="G70" s="49"/>
      <c r="H70" s="49"/>
      <c r="J70" s="89">
        <f>(J68*J69)</f>
        <v>1.1977777777777776</v>
      </c>
    </row>
    <row r="71" ht="15">
      <c r="D71" s="91"/>
    </row>
    <row r="72" ht="15">
      <c r="D72" s="91"/>
    </row>
    <row r="74" spans="1:17" ht="18.75" thickBot="1">
      <c r="A74" s="17" t="s">
        <v>74</v>
      </c>
      <c r="B74" s="71" t="s">
        <v>47</v>
      </c>
      <c r="C74" s="4"/>
      <c r="D74" s="4"/>
      <c r="E74" s="4"/>
      <c r="F74" s="4"/>
      <c r="G74" s="4"/>
      <c r="H74" s="4"/>
      <c r="I74" s="4"/>
      <c r="J74" s="5"/>
      <c r="K74" s="4"/>
      <c r="L74" s="4"/>
      <c r="M74" s="4"/>
      <c r="N74" s="4"/>
      <c r="O74" s="4"/>
      <c r="P74" s="4"/>
      <c r="Q74" s="4"/>
    </row>
    <row r="75" ht="15.75" thickTop="1"/>
    <row r="76" spans="3:10" ht="15">
      <c r="C76" s="22" t="s">
        <v>11</v>
      </c>
      <c r="D76" s="23"/>
      <c r="E76" s="24"/>
      <c r="F76" s="24"/>
      <c r="G76" s="23"/>
      <c r="H76" s="23"/>
      <c r="I76" s="25"/>
      <c r="J76" s="26"/>
    </row>
    <row r="77" spans="4:10" ht="15">
      <c r="D77" s="92" t="s">
        <v>48</v>
      </c>
      <c r="E77" s="92"/>
      <c r="F77" s="92"/>
      <c r="G77" s="92"/>
      <c r="H77" s="92"/>
      <c r="I77" s="92"/>
      <c r="J77" s="156">
        <v>1</v>
      </c>
    </row>
    <row r="78" spans="4:10" ht="15">
      <c r="D78" s="92" t="s">
        <v>49</v>
      </c>
      <c r="E78" s="92"/>
      <c r="F78" s="92"/>
      <c r="G78" s="92"/>
      <c r="H78" s="92"/>
      <c r="I78" s="92"/>
      <c r="J78" s="160">
        <v>0.16</v>
      </c>
    </row>
    <row r="79" spans="4:15" ht="15">
      <c r="D79" s="92" t="s">
        <v>50</v>
      </c>
      <c r="E79" s="92"/>
      <c r="F79" s="92"/>
      <c r="G79" s="92"/>
      <c r="H79" s="92"/>
      <c r="I79" s="92"/>
      <c r="J79" s="160">
        <v>0.8</v>
      </c>
      <c r="M79" s="49"/>
      <c r="N79" s="49"/>
      <c r="O79" s="49"/>
    </row>
    <row r="80" spans="4:15" ht="15">
      <c r="D80" s="92" t="s">
        <v>51</v>
      </c>
      <c r="E80" s="92"/>
      <c r="F80" s="92"/>
      <c r="G80" s="92"/>
      <c r="H80" s="92"/>
      <c r="I80" s="92"/>
      <c r="J80" s="160">
        <v>1.75</v>
      </c>
      <c r="M80" s="93"/>
      <c r="N80" s="93"/>
      <c r="O80" s="93"/>
    </row>
    <row r="81" spans="4:17" ht="15">
      <c r="D81" s="92" t="s">
        <v>52</v>
      </c>
      <c r="E81" s="92"/>
      <c r="F81" s="92"/>
      <c r="G81" s="92"/>
      <c r="H81" s="92"/>
      <c r="I81" s="92"/>
      <c r="J81" s="159">
        <v>0.7</v>
      </c>
      <c r="M81" s="94" t="s">
        <v>53</v>
      </c>
      <c r="N81" s="185" t="s">
        <v>54</v>
      </c>
      <c r="O81" s="185"/>
      <c r="P81" s="185"/>
      <c r="Q81" s="95"/>
    </row>
    <row r="82" spans="4:16" ht="15">
      <c r="D82" s="92" t="s">
        <v>55</v>
      </c>
      <c r="E82" s="92"/>
      <c r="F82" s="92"/>
      <c r="G82" s="92"/>
      <c r="H82" s="92"/>
      <c r="I82" s="92"/>
      <c r="J82" s="160">
        <v>6</v>
      </c>
      <c r="M82" s="96" t="s">
        <v>56</v>
      </c>
      <c r="N82" s="186" t="s">
        <v>57</v>
      </c>
      <c r="O82" s="186"/>
      <c r="P82" s="186"/>
    </row>
    <row r="83" spans="4:15" ht="15">
      <c r="D83" s="92" t="s">
        <v>58</v>
      </c>
      <c r="E83" s="92"/>
      <c r="F83" s="92"/>
      <c r="G83" s="92"/>
      <c r="H83" s="92"/>
      <c r="I83" s="92"/>
      <c r="J83" s="160">
        <v>0.12</v>
      </c>
      <c r="M83" s="97" t="s">
        <v>59</v>
      </c>
      <c r="N83" s="187" t="s">
        <v>60</v>
      </c>
      <c r="O83" s="187"/>
    </row>
    <row r="84" spans="4:15" ht="15">
      <c r="D84" s="92" t="s">
        <v>61</v>
      </c>
      <c r="E84" s="92"/>
      <c r="F84" s="92"/>
      <c r="G84" s="92"/>
      <c r="H84" s="92"/>
      <c r="I84" s="92"/>
      <c r="J84" s="159">
        <v>0.5</v>
      </c>
      <c r="M84" s="97" t="s">
        <v>62</v>
      </c>
      <c r="N84" s="188" t="s">
        <v>63</v>
      </c>
      <c r="O84" s="188"/>
    </row>
    <row r="85" spans="10:15" ht="15">
      <c r="J85"/>
      <c r="M85" s="97" t="s">
        <v>64</v>
      </c>
      <c r="N85" s="189" t="s">
        <v>65</v>
      </c>
      <c r="O85" s="189"/>
    </row>
    <row r="86" spans="4:15" ht="15">
      <c r="D86" s="166"/>
      <c r="J86" s="167"/>
      <c r="M86" s="97"/>
      <c r="N86" s="169"/>
      <c r="O86" s="169"/>
    </row>
    <row r="87" spans="3:8" ht="15">
      <c r="C87" s="22" t="s">
        <v>22</v>
      </c>
      <c r="D87" s="93"/>
      <c r="E87" s="93"/>
      <c r="F87" s="93"/>
      <c r="G87" s="93"/>
      <c r="H87" s="93"/>
    </row>
    <row r="88" spans="3:10" ht="15">
      <c r="C88" s="174"/>
      <c r="D88" s="98" t="s">
        <v>126</v>
      </c>
      <c r="J88" s="106">
        <f>J82*J83*J84</f>
        <v>0.36</v>
      </c>
    </row>
    <row r="89" spans="4:13" ht="15">
      <c r="D89" s="98" t="s">
        <v>66</v>
      </c>
      <c r="E89" s="98"/>
      <c r="F89" s="98"/>
      <c r="G89" s="98"/>
      <c r="H89" s="98"/>
      <c r="I89" s="98"/>
      <c r="J89" s="99">
        <f>30*(J78*J79)</f>
        <v>3.84</v>
      </c>
      <c r="M89" s="100"/>
    </row>
    <row r="90" spans="4:13" ht="15">
      <c r="D90" s="98" t="s">
        <v>67</v>
      </c>
      <c r="E90" s="98"/>
      <c r="F90" s="98"/>
      <c r="G90" s="98"/>
      <c r="H90" s="98"/>
      <c r="I90" s="98"/>
      <c r="J90" s="99">
        <f>(J89/J81)</f>
        <v>5.485714285714286</v>
      </c>
      <c r="M90" s="101"/>
    </row>
    <row r="91" spans="4:10" ht="15">
      <c r="D91" s="98" t="s">
        <v>68</v>
      </c>
      <c r="E91" s="98"/>
      <c r="F91" s="98"/>
      <c r="G91" s="98"/>
      <c r="H91" s="98"/>
      <c r="I91" s="98"/>
      <c r="J91" s="42">
        <f>J80*J81</f>
        <v>1.2249999999999999</v>
      </c>
    </row>
    <row r="92" spans="4:16" ht="15">
      <c r="D92" s="98" t="s">
        <v>127</v>
      </c>
      <c r="E92" s="98"/>
      <c r="F92" s="98"/>
      <c r="G92" s="98"/>
      <c r="H92" s="98"/>
      <c r="I92" s="98"/>
      <c r="J92" s="102">
        <f>ROUND(((30/(J89/(J82*J83*J84)))),0)</f>
        <v>3</v>
      </c>
      <c r="M92" s="103"/>
      <c r="P92" s="104"/>
    </row>
    <row r="93" spans="4:10" ht="15">
      <c r="D93" s="98" t="s">
        <v>69</v>
      </c>
      <c r="E93" s="98"/>
      <c r="F93" s="98"/>
      <c r="G93" s="98"/>
      <c r="H93" s="98"/>
      <c r="I93" s="98"/>
      <c r="J93" s="105">
        <f>J92-1</f>
        <v>2</v>
      </c>
    </row>
    <row r="94" spans="4:13" ht="15">
      <c r="D94" s="98" t="s">
        <v>70</v>
      </c>
      <c r="E94" s="98"/>
      <c r="F94" s="98"/>
      <c r="G94" s="98"/>
      <c r="H94" s="98"/>
      <c r="I94" s="98"/>
      <c r="J94" s="106">
        <f>ROUND((((J89/30)*J92)/J91)*60,0)</f>
        <v>19</v>
      </c>
      <c r="M94" s="100"/>
    </row>
    <row r="95" ht="15">
      <c r="D95" s="48"/>
    </row>
    <row r="96" spans="3:10" ht="15">
      <c r="C96" s="32" t="s">
        <v>71</v>
      </c>
      <c r="D96" s="93"/>
      <c r="E96" s="93"/>
      <c r="F96" s="93"/>
      <c r="G96" s="93"/>
      <c r="H96" s="93"/>
      <c r="J96" s="107"/>
    </row>
    <row r="97" spans="4:10" ht="15">
      <c r="D97" s="30" t="s">
        <v>72</v>
      </c>
      <c r="E97" s="30"/>
      <c r="F97" s="30"/>
      <c r="G97" s="30"/>
      <c r="H97" s="30"/>
      <c r="I97" s="30"/>
      <c r="J97" s="158">
        <v>2</v>
      </c>
    </row>
    <row r="98" spans="4:10" ht="15">
      <c r="D98" s="91" t="s">
        <v>70</v>
      </c>
      <c r="E98" s="91"/>
      <c r="F98" s="91"/>
      <c r="G98" s="91"/>
      <c r="H98" s="91"/>
      <c r="I98" s="91"/>
      <c r="J98" s="108">
        <f>ROUND(((7/J92)*J94)/J97,0)</f>
        <v>22</v>
      </c>
    </row>
    <row r="99" spans="4:10" ht="15">
      <c r="D99" s="91" t="s">
        <v>128</v>
      </c>
      <c r="E99" s="91"/>
      <c r="F99" s="91"/>
      <c r="G99" s="91"/>
      <c r="H99" s="91"/>
      <c r="I99" s="91"/>
      <c r="J99" s="172">
        <f>(J98/60)*J91</f>
        <v>0.4491666666666666</v>
      </c>
    </row>
    <row r="100" spans="4:11" ht="15">
      <c r="D100" s="48" t="s">
        <v>73</v>
      </c>
      <c r="E100" s="109"/>
      <c r="J100" s="110"/>
      <c r="K100" s="1"/>
    </row>
    <row r="101" ht="15">
      <c r="D101" s="48"/>
    </row>
    <row r="102" ht="15">
      <c r="D102" s="48"/>
    </row>
    <row r="104" spans="1:17" ht="18.75" thickBot="1">
      <c r="A104" s="17" t="s">
        <v>75</v>
      </c>
      <c r="B104" s="18" t="s">
        <v>76</v>
      </c>
      <c r="C104" s="111"/>
      <c r="D104" s="111"/>
      <c r="E104" s="111"/>
      <c r="F104" s="111"/>
      <c r="G104" s="111"/>
      <c r="H104" s="111"/>
      <c r="I104" s="111"/>
      <c r="J104" s="112"/>
      <c r="K104" s="4"/>
      <c r="L104" s="4"/>
      <c r="M104" s="4"/>
      <c r="N104" s="4"/>
      <c r="O104" s="4"/>
      <c r="P104" s="4"/>
      <c r="Q104" s="4"/>
    </row>
    <row r="105" spans="2:10" ht="15.75" thickTop="1">
      <c r="B105" s="78"/>
      <c r="C105" s="78"/>
      <c r="D105" s="78"/>
      <c r="E105" s="78"/>
      <c r="F105" s="78"/>
      <c r="G105" s="78"/>
      <c r="H105" s="78"/>
      <c r="I105" s="78"/>
      <c r="J105" s="113"/>
    </row>
    <row r="106" spans="2:10" ht="15">
      <c r="B106" s="78"/>
      <c r="C106" s="22" t="s">
        <v>11</v>
      </c>
      <c r="D106" s="23"/>
      <c r="E106" s="24"/>
      <c r="F106" s="24"/>
      <c r="G106" s="23"/>
      <c r="H106" s="23"/>
      <c r="I106" s="25"/>
      <c r="J106" s="26"/>
    </row>
    <row r="107" spans="2:16" ht="15">
      <c r="B107" s="78"/>
      <c r="C107" s="73"/>
      <c r="D107" s="74" t="s">
        <v>77</v>
      </c>
      <c r="E107" s="75"/>
      <c r="F107" s="75"/>
      <c r="G107" s="75"/>
      <c r="H107" s="75"/>
      <c r="I107" s="75"/>
      <c r="J107" s="161">
        <v>10</v>
      </c>
      <c r="K107" s="1" t="s">
        <v>106</v>
      </c>
      <c r="L107" s="190">
        <f>J107*43560</f>
        <v>435600</v>
      </c>
      <c r="M107" s="191"/>
      <c r="N107" s="192" t="s">
        <v>109</v>
      </c>
      <c r="O107" s="193"/>
      <c r="P107" s="193"/>
    </row>
    <row r="108" spans="2:10" ht="15">
      <c r="B108" s="78"/>
      <c r="C108" s="76"/>
      <c r="D108" s="74" t="s">
        <v>78</v>
      </c>
      <c r="E108" s="75"/>
      <c r="F108" s="75"/>
      <c r="G108" s="75"/>
      <c r="H108" s="75"/>
      <c r="I108" s="75"/>
      <c r="J108" s="161">
        <v>20</v>
      </c>
    </row>
    <row r="109" spans="2:10" ht="15">
      <c r="B109" s="78"/>
      <c r="C109" s="77"/>
      <c r="D109" s="76"/>
      <c r="E109" s="78"/>
      <c r="F109" s="78"/>
      <c r="G109" s="78"/>
      <c r="H109" s="78"/>
      <c r="I109" s="78"/>
      <c r="J109" s="114"/>
    </row>
    <row r="110" spans="2:10" ht="15">
      <c r="B110" s="78"/>
      <c r="C110" s="22" t="s">
        <v>22</v>
      </c>
      <c r="D110" s="80"/>
      <c r="E110" s="81"/>
      <c r="F110" s="81"/>
      <c r="G110" s="80"/>
      <c r="H110" s="82"/>
      <c r="I110" s="80"/>
      <c r="J110" s="115"/>
    </row>
    <row r="111" spans="2:10" ht="15">
      <c r="B111" s="116"/>
      <c r="C111" s="117"/>
      <c r="D111" s="118" t="s">
        <v>79</v>
      </c>
      <c r="E111" s="119"/>
      <c r="F111" s="116"/>
      <c r="G111" s="116"/>
      <c r="H111" s="116"/>
      <c r="I111" s="194">
        <f>I113*748.052</f>
        <v>5430857.52</v>
      </c>
      <c r="J111" s="195"/>
    </row>
    <row r="112" spans="2:10" ht="15">
      <c r="B112" s="116"/>
      <c r="C112" s="77"/>
      <c r="D112" s="118" t="s">
        <v>80</v>
      </c>
      <c r="E112" s="119"/>
      <c r="F112" s="78"/>
      <c r="G112" s="78"/>
      <c r="H112" s="78"/>
      <c r="I112" s="196">
        <f>I111/1000</f>
        <v>5430.85752</v>
      </c>
      <c r="J112" s="197"/>
    </row>
    <row r="113" spans="2:10" ht="15">
      <c r="B113" s="116"/>
      <c r="C113" s="78"/>
      <c r="D113" s="119" t="s">
        <v>81</v>
      </c>
      <c r="E113" s="78"/>
      <c r="F113" s="78"/>
      <c r="G113" s="78"/>
      <c r="H113" s="78"/>
      <c r="I113" s="198">
        <f>(J107*J108*36.3)</f>
        <v>7259.999999999999</v>
      </c>
      <c r="J113" s="198"/>
    </row>
    <row r="114" spans="2:10" ht="15">
      <c r="B114" s="78"/>
      <c r="C114" s="78"/>
      <c r="D114" s="119" t="s">
        <v>82</v>
      </c>
      <c r="E114" s="78"/>
      <c r="F114" s="78"/>
      <c r="G114" s="78"/>
      <c r="H114" s="78"/>
      <c r="I114" s="199">
        <f>(I113/435.6)</f>
        <v>16.666666666666664</v>
      </c>
      <c r="J114" s="200"/>
    </row>
    <row r="118" spans="1:17" ht="18.75" thickBot="1">
      <c r="A118" s="17" t="s">
        <v>83</v>
      </c>
      <c r="B118" s="18" t="s">
        <v>5</v>
      </c>
      <c r="C118" s="4"/>
      <c r="D118" s="4"/>
      <c r="E118" s="4"/>
      <c r="F118" s="4"/>
      <c r="G118" s="4"/>
      <c r="H118" s="4"/>
      <c r="I118" s="4"/>
      <c r="J118" s="5"/>
      <c r="K118" s="4"/>
      <c r="L118" s="4"/>
      <c r="M118" s="4"/>
      <c r="N118" s="4"/>
      <c r="O118" s="4"/>
      <c r="P118" s="4"/>
      <c r="Q118" s="4"/>
    </row>
    <row r="119" ht="15.75" thickTop="1"/>
    <row r="120" spans="3:10" ht="15">
      <c r="C120" s="22" t="s">
        <v>11</v>
      </c>
      <c r="D120" s="23"/>
      <c r="E120" s="24"/>
      <c r="F120" s="24"/>
      <c r="G120" s="23"/>
      <c r="H120" s="23"/>
      <c r="I120" s="25"/>
      <c r="J120" s="26"/>
    </row>
    <row r="121" spans="4:10" ht="15">
      <c r="D121" s="30" t="s">
        <v>84</v>
      </c>
      <c r="E121" s="30"/>
      <c r="F121" s="30"/>
      <c r="G121" s="30"/>
      <c r="H121" s="30"/>
      <c r="I121" s="30"/>
      <c r="J121" s="160"/>
    </row>
    <row r="122" spans="4:10" ht="15">
      <c r="D122" s="30" t="s">
        <v>85</v>
      </c>
      <c r="E122" s="30"/>
      <c r="F122" s="30"/>
      <c r="G122" s="30"/>
      <c r="H122" s="30"/>
      <c r="I122" s="30"/>
      <c r="J122" s="160"/>
    </row>
    <row r="123" spans="4:10" ht="15">
      <c r="D123" s="30" t="s">
        <v>86</v>
      </c>
      <c r="E123" s="30"/>
      <c r="F123" s="30"/>
      <c r="G123" s="30"/>
      <c r="H123" s="30"/>
      <c r="I123" s="30"/>
      <c r="J123" s="159"/>
    </row>
    <row r="124" spans="4:10" ht="15">
      <c r="D124" s="30" t="s">
        <v>87</v>
      </c>
      <c r="E124" s="30"/>
      <c r="F124" s="30"/>
      <c r="G124" s="30"/>
      <c r="H124" s="30"/>
      <c r="I124" s="30"/>
      <c r="J124" s="162"/>
    </row>
    <row r="125" spans="4:10" ht="15">
      <c r="D125" s="30" t="s">
        <v>88</v>
      </c>
      <c r="E125" s="30"/>
      <c r="F125" s="30"/>
      <c r="G125" s="30"/>
      <c r="H125" s="30"/>
      <c r="I125" s="30"/>
      <c r="J125" s="163"/>
    </row>
    <row r="126" spans="4:10" ht="15">
      <c r="D126" s="30" t="s">
        <v>89</v>
      </c>
      <c r="E126" s="30"/>
      <c r="F126" s="30"/>
      <c r="G126" s="30"/>
      <c r="H126" s="30"/>
      <c r="I126" s="30"/>
      <c r="J126" s="160"/>
    </row>
    <row r="127" spans="4:10" ht="15">
      <c r="D127" s="30" t="s">
        <v>90</v>
      </c>
      <c r="E127" s="30"/>
      <c r="F127" s="30"/>
      <c r="G127" s="30"/>
      <c r="H127" s="30"/>
      <c r="I127" s="30"/>
      <c r="J127" s="159"/>
    </row>
    <row r="128" spans="4:10" ht="15">
      <c r="D128" s="30"/>
      <c r="E128" s="30"/>
      <c r="F128" s="30"/>
      <c r="G128" s="30"/>
      <c r="H128" s="30"/>
      <c r="I128" s="30"/>
      <c r="J128" s="120"/>
    </row>
    <row r="129" spans="3:9" ht="15">
      <c r="C129" s="32" t="s">
        <v>22</v>
      </c>
      <c r="D129" s="93"/>
      <c r="E129" s="93"/>
      <c r="F129" s="93"/>
      <c r="G129" s="93"/>
      <c r="H129" s="93"/>
      <c r="I129" s="49"/>
    </row>
    <row r="130" spans="4:10" ht="15">
      <c r="D130" s="91" t="s">
        <v>91</v>
      </c>
      <c r="E130" s="91"/>
      <c r="F130" s="91"/>
      <c r="G130" s="91"/>
      <c r="H130" s="91"/>
      <c r="I130" s="91"/>
      <c r="J130" s="42">
        <f>(J121*7)*J122</f>
        <v>0</v>
      </c>
    </row>
    <row r="131" spans="4:11" ht="15">
      <c r="D131" s="91" t="s">
        <v>92</v>
      </c>
      <c r="E131" s="91"/>
      <c r="F131" s="91"/>
      <c r="G131" s="91"/>
      <c r="H131" s="91"/>
      <c r="I131" s="91"/>
      <c r="J131" s="42" t="e">
        <f>J130/J123</f>
        <v>#DIV/0!</v>
      </c>
      <c r="K131" s="121"/>
    </row>
    <row r="132" spans="4:11" ht="15">
      <c r="D132" s="91" t="s">
        <v>93</v>
      </c>
      <c r="E132" s="91"/>
      <c r="F132" s="91"/>
      <c r="G132" s="91"/>
      <c r="H132" s="91"/>
      <c r="I132" s="91"/>
      <c r="J132" s="122" t="e">
        <f>((((J131*27152))/J125)*J126)/1000</f>
        <v>#DIV/0!</v>
      </c>
      <c r="K132" s="121"/>
    </row>
    <row r="133" spans="4:11" ht="15">
      <c r="D133" s="91" t="s">
        <v>94</v>
      </c>
      <c r="E133" s="91"/>
      <c r="F133" s="91"/>
      <c r="G133" s="91"/>
      <c r="H133" s="91"/>
      <c r="I133" s="91"/>
      <c r="J133" s="123" t="e">
        <f>(((J132/J124)/60))*1000</f>
        <v>#DIV/0!</v>
      </c>
      <c r="K133" s="124"/>
    </row>
    <row r="134" spans="4:10" ht="15">
      <c r="D134" s="91" t="s">
        <v>95</v>
      </c>
      <c r="E134" s="91"/>
      <c r="F134" s="91"/>
      <c r="G134" s="91"/>
      <c r="H134" s="91"/>
      <c r="I134" s="91"/>
      <c r="J134" s="123" t="e">
        <f>J133*(J127+1)</f>
        <v>#DIV/0!</v>
      </c>
    </row>
    <row r="135" spans="4:10" ht="15">
      <c r="D135" s="91"/>
      <c r="E135" s="91"/>
      <c r="F135" s="91"/>
      <c r="G135" s="91"/>
      <c r="H135" s="91"/>
      <c r="I135" s="91"/>
      <c r="J135" s="125"/>
    </row>
    <row r="136" spans="4:10" ht="15">
      <c r="D136" s="91"/>
      <c r="E136" s="91"/>
      <c r="F136" s="91"/>
      <c r="G136" s="91"/>
      <c r="H136" s="91"/>
      <c r="I136" s="91"/>
      <c r="J136" s="125"/>
    </row>
    <row r="138" spans="1:17" ht="18.75" thickBot="1">
      <c r="A138" s="17" t="s">
        <v>96</v>
      </c>
      <c r="B138" s="18" t="s">
        <v>97</v>
      </c>
      <c r="C138" s="126"/>
      <c r="D138" s="126"/>
      <c r="E138" s="126"/>
      <c r="F138" s="126"/>
      <c r="G138" s="126"/>
      <c r="H138" s="126"/>
      <c r="I138" s="126"/>
      <c r="J138" s="127"/>
      <c r="K138" s="126"/>
      <c r="L138" s="126"/>
      <c r="M138" s="126"/>
      <c r="N138" s="126"/>
      <c r="O138" s="4"/>
      <c r="P138" s="4"/>
      <c r="Q138" s="4"/>
    </row>
    <row r="139" spans="2:14" ht="15.75" thickTop="1">
      <c r="B139" s="11"/>
      <c r="C139" s="16"/>
      <c r="D139" s="16"/>
      <c r="E139" s="16"/>
      <c r="F139" s="16"/>
      <c r="G139" s="16"/>
      <c r="H139" s="16"/>
      <c r="I139" s="16"/>
      <c r="J139" s="128"/>
      <c r="K139" s="16"/>
      <c r="L139" s="16"/>
      <c r="M139" s="16"/>
      <c r="N139" s="16"/>
    </row>
    <row r="140" spans="2:14" ht="15">
      <c r="B140" s="16"/>
      <c r="C140" s="22" t="s">
        <v>11</v>
      </c>
      <c r="D140" s="23"/>
      <c r="E140" s="24"/>
      <c r="F140" s="24"/>
      <c r="G140" s="23"/>
      <c r="H140" s="23"/>
      <c r="I140" s="25"/>
      <c r="J140" s="26"/>
      <c r="K140" s="129"/>
      <c r="L140" s="129"/>
      <c r="M140" s="16"/>
      <c r="N140" s="16"/>
    </row>
    <row r="141" spans="2:14" ht="15">
      <c r="B141" s="16"/>
      <c r="C141" s="16"/>
      <c r="D141" s="29" t="s">
        <v>98</v>
      </c>
      <c r="E141" s="30"/>
      <c r="F141" s="30"/>
      <c r="G141" s="30"/>
      <c r="H141" s="30"/>
      <c r="I141" s="59"/>
      <c r="J141" s="156"/>
      <c r="K141" s="49"/>
      <c r="L141" s="129"/>
      <c r="M141" s="16"/>
      <c r="N141" s="16"/>
    </row>
    <row r="142" spans="2:14" ht="15">
      <c r="B142" s="16"/>
      <c r="C142" s="16"/>
      <c r="D142" s="29" t="s">
        <v>99</v>
      </c>
      <c r="E142" s="30"/>
      <c r="F142" s="30"/>
      <c r="G142" s="30"/>
      <c r="H142" s="30"/>
      <c r="I142" s="59"/>
      <c r="J142" s="156"/>
      <c r="K142" s="49"/>
      <c r="L142" s="129"/>
      <c r="M142" s="16"/>
      <c r="N142" s="16"/>
    </row>
    <row r="143" spans="2:14" ht="15">
      <c r="B143" s="16"/>
      <c r="C143" s="16"/>
      <c r="D143" s="58" t="s">
        <v>100</v>
      </c>
      <c r="E143" s="30"/>
      <c r="F143" s="30"/>
      <c r="G143" s="30"/>
      <c r="H143" s="30"/>
      <c r="I143" s="59"/>
      <c r="J143" s="159"/>
      <c r="K143" s="49"/>
      <c r="L143" s="129"/>
      <c r="M143" s="16"/>
      <c r="N143" s="16"/>
    </row>
    <row r="144" spans="2:14" ht="15">
      <c r="B144" s="16"/>
      <c r="C144" s="16"/>
      <c r="D144" s="16"/>
      <c r="E144" s="16"/>
      <c r="F144" s="16"/>
      <c r="G144" s="16"/>
      <c r="H144" s="16"/>
      <c r="I144" s="129"/>
      <c r="J144" s="130"/>
      <c r="K144" s="49"/>
      <c r="L144" s="129"/>
      <c r="M144" s="16"/>
      <c r="N144" s="16"/>
    </row>
    <row r="145" spans="2:14" ht="15">
      <c r="B145" s="16"/>
      <c r="C145" s="16"/>
      <c r="D145" s="16"/>
      <c r="E145" s="16"/>
      <c r="F145" s="16"/>
      <c r="G145" s="16"/>
      <c r="H145" s="16"/>
      <c r="I145" s="129"/>
      <c r="J145" s="130"/>
      <c r="K145" s="49"/>
      <c r="L145" s="129"/>
      <c r="M145" s="16"/>
      <c r="N145" s="16"/>
    </row>
    <row r="146" spans="2:14" ht="15">
      <c r="B146" s="16"/>
      <c r="C146" s="32" t="s">
        <v>22</v>
      </c>
      <c r="D146" s="131"/>
      <c r="E146" s="131"/>
      <c r="F146" s="131"/>
      <c r="G146" s="131"/>
      <c r="H146" s="131"/>
      <c r="I146" s="129"/>
      <c r="J146" s="130"/>
      <c r="K146" s="49"/>
      <c r="M146" s="16"/>
      <c r="N146" s="16"/>
    </row>
    <row r="147" spans="2:14" ht="15">
      <c r="B147" s="16"/>
      <c r="C147" s="16"/>
      <c r="D147" s="38" t="s">
        <v>101</v>
      </c>
      <c r="E147" s="16"/>
      <c r="F147" s="16"/>
      <c r="G147" s="16"/>
      <c r="H147" s="16"/>
      <c r="I147" s="129"/>
      <c r="J147" s="46" t="e">
        <f>(J141*J142)/(1714*J143)</f>
        <v>#DIV/0!</v>
      </c>
      <c r="M147" s="16"/>
      <c r="N147" s="16"/>
    </row>
    <row r="148" spans="2:14" ht="15">
      <c r="B148" s="16"/>
      <c r="C148" s="16"/>
      <c r="D148" s="38" t="s">
        <v>102</v>
      </c>
      <c r="E148" s="16"/>
      <c r="F148" s="16"/>
      <c r="G148" s="16"/>
      <c r="H148" s="16"/>
      <c r="I148" s="129"/>
      <c r="J148" s="105">
        <f>(J142*2.31)</f>
        <v>0</v>
      </c>
      <c r="M148" s="16"/>
      <c r="N148" s="16"/>
    </row>
    <row r="149" spans="2:14" ht="15">
      <c r="B149" s="16"/>
      <c r="C149" s="16"/>
      <c r="D149" s="38"/>
      <c r="E149" s="16"/>
      <c r="F149" s="16"/>
      <c r="G149" s="16"/>
      <c r="H149" s="16"/>
      <c r="I149" s="16"/>
      <c r="J149" s="128"/>
      <c r="M149" s="16"/>
      <c r="N149" s="16"/>
    </row>
    <row r="150" spans="2:14" ht="15">
      <c r="B150" s="16"/>
      <c r="C150" s="16"/>
      <c r="D150" s="38"/>
      <c r="E150" s="16"/>
      <c r="F150" s="16"/>
      <c r="G150" s="16"/>
      <c r="H150" s="16"/>
      <c r="I150" s="16"/>
      <c r="J150" s="128"/>
      <c r="M150" s="16"/>
      <c r="N150" s="16"/>
    </row>
    <row r="151" spans="2:14" ht="15">
      <c r="B151" s="16"/>
      <c r="C151" s="16"/>
      <c r="D151" s="38"/>
      <c r="E151" s="16"/>
      <c r="F151" s="16"/>
      <c r="G151" s="16"/>
      <c r="H151" s="16"/>
      <c r="I151" s="16"/>
      <c r="J151" s="128"/>
      <c r="K151" s="132"/>
      <c r="L151" s="16"/>
      <c r="M151" s="16"/>
      <c r="N151" s="16"/>
    </row>
    <row r="152" spans="1:17" ht="18.75" thickBot="1">
      <c r="A152" s="17" t="s">
        <v>130</v>
      </c>
      <c r="B152" s="71" t="s">
        <v>7</v>
      </c>
      <c r="C152" s="126"/>
      <c r="D152" s="133"/>
      <c r="E152" s="126"/>
      <c r="F152" s="126"/>
      <c r="G152" s="126"/>
      <c r="H152" s="134"/>
      <c r="I152" s="126"/>
      <c r="J152" s="127"/>
      <c r="K152" s="135"/>
      <c r="L152" s="126"/>
      <c r="M152" s="126"/>
      <c r="N152" s="126"/>
      <c r="O152" s="4"/>
      <c r="P152" s="4"/>
      <c r="Q152" s="4"/>
    </row>
    <row r="153" spans="2:14" ht="15.75" thickTop="1">
      <c r="B153" s="16"/>
      <c r="C153" s="16"/>
      <c r="D153" s="38"/>
      <c r="E153" s="16"/>
      <c r="F153" s="16"/>
      <c r="G153" s="16"/>
      <c r="H153" s="16"/>
      <c r="I153" s="16"/>
      <c r="J153" s="128"/>
      <c r="K153" s="132"/>
      <c r="L153" s="16"/>
      <c r="M153" s="16"/>
      <c r="N153" s="16"/>
    </row>
    <row r="154" spans="3:11" ht="15">
      <c r="C154" s="136"/>
      <c r="D154" s="201"/>
      <c r="E154" s="201"/>
      <c r="F154" s="201"/>
      <c r="G154" s="179" t="s">
        <v>103</v>
      </c>
      <c r="H154" s="179"/>
      <c r="I154" s="137"/>
      <c r="J154" s="180" t="s">
        <v>104</v>
      </c>
      <c r="K154" s="180"/>
    </row>
    <row r="155" spans="3:12" ht="15">
      <c r="C155" s="136"/>
      <c r="D155" s="92" t="s">
        <v>105</v>
      </c>
      <c r="E155" s="30"/>
      <c r="F155" s="30"/>
      <c r="G155" s="202">
        <v>0</v>
      </c>
      <c r="H155" s="203"/>
      <c r="I155" s="1" t="s">
        <v>106</v>
      </c>
      <c r="J155" s="204">
        <f>G155/43560</f>
        <v>0</v>
      </c>
      <c r="K155" s="205"/>
      <c r="L155" s="138" t="s">
        <v>107</v>
      </c>
    </row>
    <row r="156" spans="1:16" s="49" customFormat="1" ht="15">
      <c r="A156" s="139"/>
      <c r="C156" s="140"/>
      <c r="D156" s="141"/>
      <c r="E156" s="59"/>
      <c r="F156" s="59"/>
      <c r="H156" s="142"/>
      <c r="I156" s="143"/>
      <c r="J156" s="144"/>
      <c r="K156" s="144"/>
      <c r="L156" s="145"/>
      <c r="P156"/>
    </row>
    <row r="157" spans="3:12" ht="15">
      <c r="C157" s="136"/>
      <c r="D157" s="92" t="s">
        <v>108</v>
      </c>
      <c r="E157" s="30"/>
      <c r="F157" s="30"/>
      <c r="G157" s="202"/>
      <c r="H157" s="203"/>
      <c r="I157" s="146" t="s">
        <v>106</v>
      </c>
      <c r="J157" s="207">
        <f>G157*43560</f>
        <v>0</v>
      </c>
      <c r="K157" s="207"/>
      <c r="L157" s="138" t="s">
        <v>109</v>
      </c>
    </row>
    <row r="158" spans="1:16" s="49" customFormat="1" ht="15">
      <c r="A158" s="139"/>
      <c r="C158" s="140"/>
      <c r="D158" s="141"/>
      <c r="E158" s="59"/>
      <c r="F158" s="59"/>
      <c r="H158" s="142"/>
      <c r="I158" s="147"/>
      <c r="J158" s="148"/>
      <c r="K158" s="148"/>
      <c r="L158" s="145"/>
      <c r="P158"/>
    </row>
    <row r="159" spans="3:12" ht="15">
      <c r="C159" s="136"/>
      <c r="D159" s="92" t="s">
        <v>110</v>
      </c>
      <c r="E159" s="30"/>
      <c r="F159" s="30"/>
      <c r="G159" s="202">
        <v>0</v>
      </c>
      <c r="H159" s="203"/>
      <c r="I159" s="149" t="s">
        <v>106</v>
      </c>
      <c r="J159" s="208">
        <f>G159/7.48052</f>
        <v>0</v>
      </c>
      <c r="K159" s="208"/>
      <c r="L159" s="150" t="s">
        <v>111</v>
      </c>
    </row>
    <row r="160" spans="3:12" ht="15">
      <c r="C160" s="136"/>
      <c r="D160" s="92"/>
      <c r="E160" s="30"/>
      <c r="F160" s="30"/>
      <c r="H160" s="142"/>
      <c r="I160" s="149"/>
      <c r="J160" s="208">
        <f>(G159/7.48052)/100</f>
        <v>0</v>
      </c>
      <c r="K160" s="208"/>
      <c r="L160" s="150" t="s">
        <v>112</v>
      </c>
    </row>
    <row r="161" spans="4:12" ht="15">
      <c r="D161" s="92"/>
      <c r="E161" s="30"/>
      <c r="F161" s="30"/>
      <c r="H161" s="142"/>
      <c r="I161" s="149"/>
      <c r="J161" s="208">
        <f>G159/1000</f>
        <v>0</v>
      </c>
      <c r="K161" s="208"/>
      <c r="L161" s="150" t="s">
        <v>113</v>
      </c>
    </row>
    <row r="162" spans="4:12" ht="15">
      <c r="D162" s="92"/>
      <c r="E162" s="30"/>
      <c r="F162" s="30"/>
      <c r="H162" s="142"/>
      <c r="I162" s="149"/>
      <c r="J162" s="206">
        <f>G159/325851</f>
        <v>0</v>
      </c>
      <c r="K162" s="206"/>
      <c r="L162" s="150" t="s">
        <v>114</v>
      </c>
    </row>
    <row r="163" spans="1:12" s="49" customFormat="1" ht="15">
      <c r="A163" s="139"/>
      <c r="D163" s="141"/>
      <c r="E163" s="59"/>
      <c r="F163" s="59"/>
      <c r="H163" s="142"/>
      <c r="I163" s="151"/>
      <c r="J163" s="152"/>
      <c r="K163" s="152"/>
      <c r="L163" s="153"/>
    </row>
    <row r="164" spans="4:12" ht="15">
      <c r="D164" s="92" t="s">
        <v>115</v>
      </c>
      <c r="E164" s="30"/>
      <c r="F164" s="30"/>
      <c r="G164" s="202">
        <v>0</v>
      </c>
      <c r="H164" s="203"/>
      <c r="I164" s="149" t="s">
        <v>106</v>
      </c>
      <c r="J164" s="206">
        <f>G164*1000</f>
        <v>0</v>
      </c>
      <c r="K164" s="206"/>
      <c r="L164" s="150" t="s">
        <v>116</v>
      </c>
    </row>
    <row r="165" spans="4:12" ht="15">
      <c r="D165" s="92"/>
      <c r="E165" s="30"/>
      <c r="F165" s="30"/>
      <c r="H165" s="142"/>
      <c r="I165" s="149"/>
      <c r="J165" s="208">
        <f>(G164/7.48052)*1000</f>
        <v>0</v>
      </c>
      <c r="K165" s="208"/>
      <c r="L165" s="150" t="s">
        <v>111</v>
      </c>
    </row>
    <row r="166" spans="4:12" ht="15">
      <c r="D166" s="92"/>
      <c r="E166" s="30"/>
      <c r="F166" s="30"/>
      <c r="H166" s="142"/>
      <c r="I166" s="149"/>
      <c r="J166" s="208">
        <f>((G164/7.48052)*1000)/100</f>
        <v>0</v>
      </c>
      <c r="K166" s="208"/>
      <c r="L166" s="150" t="s">
        <v>112</v>
      </c>
    </row>
    <row r="167" spans="4:12" ht="15">
      <c r="D167" s="92"/>
      <c r="E167" s="30"/>
      <c r="F167" s="30"/>
      <c r="H167" s="142"/>
      <c r="I167" s="149"/>
      <c r="J167" s="206">
        <f>(G164/325851)*1000</f>
        <v>0</v>
      </c>
      <c r="K167" s="206"/>
      <c r="L167" s="150" t="s">
        <v>114</v>
      </c>
    </row>
    <row r="168" spans="1:12" s="49" customFormat="1" ht="15">
      <c r="A168" s="139"/>
      <c r="D168" s="141"/>
      <c r="E168" s="59"/>
      <c r="F168" s="59"/>
      <c r="H168" s="142"/>
      <c r="I168" s="151"/>
      <c r="J168" s="152"/>
      <c r="K168" s="152"/>
      <c r="L168" s="153"/>
    </row>
    <row r="169" spans="4:12" ht="15">
      <c r="D169" s="92" t="s">
        <v>117</v>
      </c>
      <c r="E169" s="30"/>
      <c r="F169" s="30"/>
      <c r="G169" s="202">
        <v>1</v>
      </c>
      <c r="H169" s="203"/>
      <c r="I169" s="149"/>
      <c r="J169" s="206">
        <f>G169*7.48052</f>
        <v>7.48052</v>
      </c>
      <c r="K169" s="206"/>
      <c r="L169" s="150" t="s">
        <v>116</v>
      </c>
    </row>
    <row r="170" spans="4:12" ht="15">
      <c r="D170" s="92"/>
      <c r="E170" s="30"/>
      <c r="F170" s="30"/>
      <c r="H170" s="142"/>
      <c r="I170" s="149"/>
      <c r="J170" s="206">
        <f>G169/100</f>
        <v>0.01</v>
      </c>
      <c r="K170" s="206"/>
      <c r="L170" s="150" t="s">
        <v>112</v>
      </c>
    </row>
    <row r="171" spans="4:12" ht="15">
      <c r="D171" s="92"/>
      <c r="E171" s="30"/>
      <c r="F171" s="30"/>
      <c r="H171" s="142"/>
      <c r="I171" s="149"/>
      <c r="J171" s="206">
        <f>(G169*7.48052)/1000</f>
        <v>0.00748052</v>
      </c>
      <c r="K171" s="206"/>
      <c r="L171" s="150" t="s">
        <v>113</v>
      </c>
    </row>
    <row r="172" spans="4:12" ht="15">
      <c r="D172" s="92"/>
      <c r="E172" s="30"/>
      <c r="F172" s="30"/>
      <c r="H172" s="142"/>
      <c r="I172" s="149"/>
      <c r="J172" s="208">
        <f>G169/43560</f>
        <v>2.295684113865932E-05</v>
      </c>
      <c r="K172" s="208"/>
      <c r="L172" s="150" t="s">
        <v>114</v>
      </c>
    </row>
    <row r="173" spans="1:12" s="49" customFormat="1" ht="15">
      <c r="A173" s="139"/>
      <c r="D173" s="141"/>
      <c r="E173" s="59"/>
      <c r="F173" s="59"/>
      <c r="H173" s="142"/>
      <c r="I173" s="151"/>
      <c r="J173" s="152"/>
      <c r="K173" s="154"/>
      <c r="L173" s="153"/>
    </row>
    <row r="174" spans="4:12" ht="15">
      <c r="D174" s="92" t="s">
        <v>118</v>
      </c>
      <c r="E174" s="30"/>
      <c r="F174" s="30"/>
      <c r="G174" s="202">
        <v>0</v>
      </c>
      <c r="H174" s="203"/>
      <c r="I174" s="149" t="s">
        <v>106</v>
      </c>
      <c r="J174" s="206">
        <f>G174*748.052</f>
        <v>0</v>
      </c>
      <c r="K174" s="206"/>
      <c r="L174" s="150" t="s">
        <v>116</v>
      </c>
    </row>
    <row r="175" spans="4:12" ht="15">
      <c r="D175" s="92"/>
      <c r="E175" s="30"/>
      <c r="F175" s="30"/>
      <c r="H175" s="142"/>
      <c r="I175" s="149"/>
      <c r="J175" s="206">
        <f>G174*100</f>
        <v>0</v>
      </c>
      <c r="K175" s="206"/>
      <c r="L175" s="150" t="s">
        <v>111</v>
      </c>
    </row>
    <row r="176" spans="4:12" ht="15">
      <c r="D176" s="92"/>
      <c r="E176" s="30"/>
      <c r="F176" s="30"/>
      <c r="H176" s="142"/>
      <c r="I176" s="149"/>
      <c r="J176" s="206">
        <f>(G174*748.052)/1000</f>
        <v>0</v>
      </c>
      <c r="K176" s="206"/>
      <c r="L176" s="150" t="s">
        <v>113</v>
      </c>
    </row>
    <row r="177" spans="4:12" ht="15">
      <c r="D177" s="92"/>
      <c r="E177" s="30"/>
      <c r="F177" s="30"/>
      <c r="H177" s="142"/>
      <c r="I177" s="149"/>
      <c r="J177" s="208">
        <f>G174/435.6</f>
        <v>0</v>
      </c>
      <c r="K177" s="208"/>
      <c r="L177" s="150" t="s">
        <v>114</v>
      </c>
    </row>
    <row r="178" spans="1:17" s="49" customFormat="1" ht="15">
      <c r="A178" s="139"/>
      <c r="D178" s="141"/>
      <c r="E178" s="59"/>
      <c r="F178" s="59"/>
      <c r="H178" s="142"/>
      <c r="I178" s="151"/>
      <c r="J178" s="155"/>
      <c r="K178" s="155"/>
      <c r="L178" s="145"/>
      <c r="P178"/>
      <c r="Q178"/>
    </row>
    <row r="179" spans="4:12" ht="15">
      <c r="D179" s="92" t="s">
        <v>119</v>
      </c>
      <c r="E179" s="30"/>
      <c r="F179" s="30"/>
      <c r="G179" s="202">
        <v>1</v>
      </c>
      <c r="H179" s="203"/>
      <c r="I179" s="149" t="s">
        <v>106</v>
      </c>
      <c r="J179" s="206">
        <f>(G179*325851)</f>
        <v>325851</v>
      </c>
      <c r="K179" s="206"/>
      <c r="L179" s="150" t="s">
        <v>116</v>
      </c>
    </row>
    <row r="180" spans="4:12" ht="15">
      <c r="D180" s="92"/>
      <c r="E180" s="30"/>
      <c r="F180" s="30"/>
      <c r="H180" s="142"/>
      <c r="I180" s="149"/>
      <c r="J180" s="206">
        <f>G179*43560</f>
        <v>43560</v>
      </c>
      <c r="K180" s="206"/>
      <c r="L180" s="150" t="s">
        <v>111</v>
      </c>
    </row>
    <row r="181" spans="4:12" ht="15">
      <c r="D181" s="30"/>
      <c r="E181" s="30"/>
      <c r="F181" s="30"/>
      <c r="H181" s="142"/>
      <c r="I181" s="149"/>
      <c r="J181" s="206">
        <f>(G179*43560)/100</f>
        <v>435.6</v>
      </c>
      <c r="K181" s="206"/>
      <c r="L181" s="150" t="s">
        <v>112</v>
      </c>
    </row>
    <row r="182" spans="4:12" ht="15">
      <c r="D182" s="30"/>
      <c r="E182" s="30"/>
      <c r="F182" s="30"/>
      <c r="H182" s="142"/>
      <c r="I182" s="149"/>
      <c r="J182" s="206">
        <f>(G179*325851)/1000</f>
        <v>325.851</v>
      </c>
      <c r="K182" s="206"/>
      <c r="L182" s="150" t="s">
        <v>113</v>
      </c>
    </row>
    <row r="183" spans="1:10" ht="12.75">
      <c r="A183"/>
      <c r="J183"/>
    </row>
    <row r="185" spans="5:7" ht="15">
      <c r="E185" s="209"/>
      <c r="F185" s="209"/>
      <c r="G185" s="209"/>
    </row>
  </sheetData>
  <sheetProtection password="EF6C" sheet="1" objects="1" scenarios="1"/>
  <mergeCells count="56">
    <mergeCell ref="I54:J54"/>
    <mergeCell ref="I55:J55"/>
    <mergeCell ref="I50:J50"/>
    <mergeCell ref="L50:M50"/>
    <mergeCell ref="I49:J49"/>
    <mergeCell ref="I51:J51"/>
    <mergeCell ref="Q54:R54"/>
    <mergeCell ref="J180:K180"/>
    <mergeCell ref="J170:K170"/>
    <mergeCell ref="J171:K171"/>
    <mergeCell ref="J172:K172"/>
    <mergeCell ref="J160:K160"/>
    <mergeCell ref="J161:K161"/>
    <mergeCell ref="J162:K162"/>
    <mergeCell ref="J181:K181"/>
    <mergeCell ref="J182:K182"/>
    <mergeCell ref="E185:G185"/>
    <mergeCell ref="J175:K175"/>
    <mergeCell ref="J176:K176"/>
    <mergeCell ref="J177:K177"/>
    <mergeCell ref="G179:H179"/>
    <mergeCell ref="J179:K179"/>
    <mergeCell ref="G174:H174"/>
    <mergeCell ref="J174:K174"/>
    <mergeCell ref="J165:K165"/>
    <mergeCell ref="J166:K166"/>
    <mergeCell ref="J167:K167"/>
    <mergeCell ref="G169:H169"/>
    <mergeCell ref="J169:K169"/>
    <mergeCell ref="G164:H164"/>
    <mergeCell ref="J164:K164"/>
    <mergeCell ref="G157:H157"/>
    <mergeCell ref="J157:K157"/>
    <mergeCell ref="G159:H159"/>
    <mergeCell ref="J159:K159"/>
    <mergeCell ref="D154:F154"/>
    <mergeCell ref="G154:H154"/>
    <mergeCell ref="J154:K154"/>
    <mergeCell ref="G155:H155"/>
    <mergeCell ref="J155:K155"/>
    <mergeCell ref="I111:J111"/>
    <mergeCell ref="I112:J112"/>
    <mergeCell ref="I113:J113"/>
    <mergeCell ref="I114:J114"/>
    <mergeCell ref="N84:O84"/>
    <mergeCell ref="N85:O85"/>
    <mergeCell ref="L107:M107"/>
    <mergeCell ref="N107:P107"/>
    <mergeCell ref="N24:O24"/>
    <mergeCell ref="N81:P81"/>
    <mergeCell ref="N82:P82"/>
    <mergeCell ref="N83:O83"/>
    <mergeCell ref="N20:O20"/>
    <mergeCell ref="N21:O21"/>
    <mergeCell ref="N22:O22"/>
    <mergeCell ref="N23:O23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Rain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Smillie</dc:creator>
  <cp:keywords/>
  <dc:description/>
  <cp:lastModifiedBy> </cp:lastModifiedBy>
  <cp:lastPrinted>2006-05-22T15:51:38Z</cp:lastPrinted>
  <dcterms:created xsi:type="dcterms:W3CDTF">2003-08-07T01:43:10Z</dcterms:created>
  <dcterms:modified xsi:type="dcterms:W3CDTF">2006-05-22T15:51:42Z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1355344620</vt:i4>
  </property>
  <property fmtid="{D5CDD505-2E9C-101B-9397-08002B2CF9AE}" pid="4" name="_EmailSubje">
    <vt:lpwstr>WAC website home page</vt:lpwstr>
  </property>
  <property fmtid="{D5CDD505-2E9C-101B-9397-08002B2CF9AE}" pid="5" name="_AuthorEma">
    <vt:lpwstr>karenh@mrwpca.com</vt:lpwstr>
  </property>
  <property fmtid="{D5CDD505-2E9C-101B-9397-08002B2CF9AE}" pid="6" name="_AuthorEmailDisplayNa">
    <vt:lpwstr>Karen Harris</vt:lpwstr>
  </property>
</Properties>
</file>